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fn.COUNTIFS" hidden="1">#NAME?</definedName>
    <definedName name="_xlfn.SUMIFS" hidden="1">#NAME?</definedName>
    <definedName name="Nguyennhan">'[1]Nguyen_nhan'!$B$3:$B$16</definedName>
    <definedName name="_xlnm.Print_Area" localSheetId="12">'06'!$A$1:$S$103</definedName>
    <definedName name="_xlnm.Print_Area" localSheetId="13">'07'!$A$1:$T$105</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<sst xmlns="http://schemas.openxmlformats.org/spreadsheetml/2006/main" count="1223" uniqueCount="575">
  <si>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</si>
  <si>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</si>
  <si>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</si>
  <si>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</si>
  <si>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</si>
  <si>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</si>
  <si>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</si>
  <si>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</si>
  <si>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</si>
  <si>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</si>
  <si>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</si>
  <si>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</si>
  <si>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</si>
  <si>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</si>
  <si>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</si>
  <si>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</si>
  <si>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</si>
  <si>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</si>
  <si>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</si>
  <si>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</si>
  <si>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</si>
  <si>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</si>
  <si>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</si>
  <si>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</si>
  <si>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</si>
  <si>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</si>
  <si>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</si>
  <si>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</si>
  <si>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</si>
  <si>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</si>
  <si>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</si>
  <si>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</si>
  <si>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</si>
  <si>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</si>
  <si>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</si>
  <si>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</si>
  <si>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</si>
  <si>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</si>
  <si>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</si>
  <si>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</si>
  <si>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</si>
  <si>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</si>
  <si>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</si>
  <si>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</si>
  <si>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</si>
  <si>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</si>
  <si>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</si>
  <si>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</si>
  <si>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</si>
  <si>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</si>
  <si>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</si>
  <si>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</si>
  <si>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</si>
  <si>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</si>
  <si>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</si>
  <si>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</si>
  <si>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</si>
  <si>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</si>
  <si>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</si>
  <si>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</si>
  <si>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</si>
  <si>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</si>
  <si>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</si>
  <si>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</si>
  <si>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</si>
  <si>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</si>
  <si>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</si>
  <si>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</si>
  <si>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</si>
  <si>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</si>
  <si>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</si>
  <si>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</si>
  <si>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</si>
  <si>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</si>
  <si>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</si>
  <si>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</si>
  <si>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</si>
  <si>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</si>
  <si>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</si>
  <si>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</si>
  <si>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</si>
  <si>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</si>
  <si>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</si>
  <si>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</si>
  <si>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</si>
  <si>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</si>
  <si>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</si>
  <si>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</si>
  <si>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</si>
  <si>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</si>
  <si>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</si>
  <si>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</si>
  <si>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</si>
  <si>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</si>
  <si>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</si>
  <si>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</si>
  <si>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</si>
  <si>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</si>
  <si>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</si>
  <si>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</si>
  <si>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</si>
  <si>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</si>
  <si>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</si>
  <si>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</si>
  <si>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</si>
  <si>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</si>
  <si>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</si>
  <si>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</si>
  <si>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</si>
  <si>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</si>
  <si>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</si>
  <si>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</si>
  <si>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</si>
  <si>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</si>
  <si>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3.3</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</si>
  <si>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</si>
  <si>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</si>
  <si>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</si>
  <si>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</si>
  <si>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</si>
  <si>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</si>
  <si>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</si>
  <si>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</si>
  <si>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</si>
  <si>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</si>
  <si>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</si>
  <si>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</si>
  <si>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</si>
  <si>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</si>
  <si>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</si>
  <si>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</si>
  <si>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</si>
  <si>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</si>
  <si>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</si>
  <si>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</si>
  <si>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</si>
  <si>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</si>
  <si>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</si>
  <si>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</si>
  <si>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</si>
  <si>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</si>
  <si>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</si>
  <si>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</si>
  <si>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</si>
  <si>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</si>
  <si>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</si>
  <si>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</si>
  <si>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</si>
  <si>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</si>
  <si>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</si>
  <si>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</si>
  <si>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</si>
  <si>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</si>
  <si>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</si>
  <si>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</si>
  <si>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</si>
  <si>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</si>
  <si>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</si>
  <si>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</si>
  <si>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</si>
  <si>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</si>
  <si>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</si>
  <si>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</si>
  <si>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</si>
  <si>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</si>
  <si>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</si>
  <si>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</si>
  <si>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</si>
  <si>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</si>
  <si>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</si>
  <si>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</si>
  <si>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</si>
  <si>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</si>
  <si>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</si>
  <si>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</si>
  <si>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</si>
  <si>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</si>
  <si>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</si>
  <si>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</si>
  <si>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</si>
  <si>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</si>
  <si>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</si>
  <si>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</si>
  <si>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</si>
  <si>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</si>
  <si>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</si>
  <si>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</si>
  <si>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</si>
  <si>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</si>
  <si>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</si>
  <si>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</si>
  <si>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</si>
  <si>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</si>
  <si>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</si>
  <si>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</si>
  <si>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</si>
  <si>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</si>
  <si>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</si>
  <si>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</si>
  <si>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</si>
  <si>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</si>
  <si>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</si>
  <si>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</si>
  <si>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</si>
  <si>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</si>
  <si>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</si>
  <si>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</si>
  <si>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</si>
  <si>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</si>
  <si>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</si>
  <si>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</si>
  <si>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</si>
  <si>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</si>
  <si>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</si>
  <si>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</si>
  <si>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</si>
  <si>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</si>
  <si>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</si>
  <si>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</si>
  <si>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</si>
  <si>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</si>
  <si>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</si>
  <si>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</si>
  <si>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</si>
  <si>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</si>
  <si>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</si>
  <si>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</si>
  <si>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</si>
  <si>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</si>
  <si>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</si>
  <si>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</si>
  <si>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</si>
  <si>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</si>
  <si>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</si>
  <si>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</si>
  <si>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</si>
  <si>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</si>
  <si>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</si>
  <si>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</si>
  <si>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</si>
  <si>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</si>
  <si>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</si>
  <si>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</si>
  <si>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</si>
  <si>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</si>
  <si>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</si>
  <si>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</si>
  <si>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</si>
  <si>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</si>
  <si>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</si>
  <si>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</si>
  <si>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</si>
  <si>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</si>
  <si>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</si>
  <si>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</si>
  <si>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</si>
  <si>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</si>
  <si>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</si>
  <si>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</si>
  <si>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</si>
  <si>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</si>
  <si>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</si>
  <si>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</si>
  <si>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</si>
  <si>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</si>
  <si>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</si>
  <si>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</si>
  <si>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</si>
  <si>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</si>
  <si>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</si>
  <si>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</si>
  <si>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</si>
  <si>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</si>
  <si>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</si>
  <si>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</si>
  <si>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</si>
  <si>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</si>
  <si>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</si>
  <si>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</si>
  <si>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</si>
  <si>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</si>
  <si>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</si>
  <si>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</si>
  <si>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</si>
  <si>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</si>
  <si>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</si>
  <si>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</si>
  <si>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</si>
  <si>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</si>
  <si>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</si>
  <si>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</si>
  <si>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</si>
  <si>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</si>
  <si>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</si>
  <si>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</si>
  <si>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</si>
  <si>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</si>
  <si>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</si>
  <si>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</si>
  <si>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</si>
  <si>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</si>
  <si>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</si>
  <si>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</si>
  <si>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</si>
  <si>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</si>
  <si>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</si>
  <si>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</si>
  <si>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</si>
  <si>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</si>
  <si>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</si>
  <si>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</si>
  <si>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</si>
  <si>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</si>
  <si>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</si>
  <si>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</si>
  <si>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</si>
  <si>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</si>
  <si>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</si>
  <si>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</si>
  <si>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</si>
  <si>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</si>
  <si>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</si>
  <si>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</si>
  <si>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</si>
  <si>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</si>
  <si>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</si>
  <si>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</si>
  <si>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</si>
  <si>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</si>
  <si>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</si>
  <si>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</si>
  <si>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</si>
  <si>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</si>
  <si>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</si>
  <si>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</si>
  <si>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</si>
  <si>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</si>
  <si>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</si>
  <si>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</si>
  <si>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</si>
  <si>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</si>
  <si>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</si>
  <si>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</si>
  <si>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</si>
  <si>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</si>
  <si>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</si>
  <si>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</si>
  <si>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</si>
  <si>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</si>
  <si>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</si>
  <si>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</si>
  <si>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</si>
  <si>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</si>
  <si>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</si>
  <si>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</si>
  <si>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</si>
  <si>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</si>
  <si>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</si>
  <si>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</si>
  <si>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</si>
  <si>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</si>
  <si>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</si>
  <si>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</si>
  <si>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</si>
  <si>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</si>
  <si>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</si>
  <si>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</si>
  <si>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</si>
  <si>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</si>
  <si>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</si>
  <si>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</si>
  <si>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</si>
  <si>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</si>
  <si>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</si>
  <si>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</si>
  <si>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</si>
  <si>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</si>
  <si>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</si>
  <si>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</si>
  <si>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</si>
  <si>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</si>
  <si>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</si>
  <si>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</si>
  <si>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</si>
  <si>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</si>
  <si>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</si>
  <si>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</si>
  <si>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</si>
  <si>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</si>
  <si>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</si>
  <si>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</si>
  <si>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</si>
  <si>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</si>
  <si>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</si>
  <si>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</si>
  <si>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</si>
  <si>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</si>
  <si>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</si>
  <si>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</si>
  <si>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</si>
  <si>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</si>
  <si>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</si>
  <si>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</si>
  <si>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</si>
  <si>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</si>
  <si>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</si>
  <si>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</si>
  <si>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</si>
  <si>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</si>
  <si>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</si>
  <si>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</si>
  <si>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</si>
  <si>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</si>
  <si>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</si>
  <si>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</si>
  <si>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</si>
  <si>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</si>
  <si>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</si>
  <si>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</si>
  <si>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</si>
  <si>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</si>
  <si>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</si>
  <si>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</si>
  <si>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</si>
  <si>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</si>
  <si>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</si>
  <si>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</si>
  <si>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</si>
  <si>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</si>
  <si>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</si>
  <si>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</si>
  <si>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</si>
  <si>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</si>
  <si>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</si>
  <si>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</si>
  <si>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</si>
  <si>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</si>
  <si>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</si>
  <si>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</si>
  <si>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</si>
  <si>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</si>
  <si>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</si>
  <si>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Cục Thi hành án dân sự tỉnh Lâm Đồng </t>
  </si>
  <si>
    <t>Phạm Ngọc Hoa</t>
  </si>
  <si>
    <t xml:space="preserve">Trần Hữu Thọ </t>
  </si>
  <si>
    <t>0</t>
  </si>
  <si>
    <t>Cục Thi hành án DS tỉnh</t>
  </si>
  <si>
    <t>Tôn Tích Bình</t>
  </si>
  <si>
    <t>Nguyễn Hữu Tài</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</si>
  <si>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</si>
  <si>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</si>
  <si>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</si>
  <si>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</si>
  <si>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</si>
  <si>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</si>
  <si>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</si>
  <si>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</si>
  <si>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</si>
  <si>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</si>
  <si>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</si>
  <si>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</si>
  <si>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Võ Thị Hồng Nhung</t>
  </si>
  <si>
    <t>Bùi Đăng Khoa</t>
  </si>
  <si>
    <t>Nguyễn Hồng Quảng</t>
  </si>
  <si>
    <t>Hồ Thanh Hiền</t>
  </si>
  <si>
    <t xml:space="preserve">Chi cục THA TP Bảo Lộc </t>
  </si>
  <si>
    <t>Nguyễn Văn Tuấn</t>
  </si>
  <si>
    <t xml:space="preserve">Nguyễn Văn Thiển </t>
  </si>
  <si>
    <t>2.3</t>
  </si>
  <si>
    <t>Nguyễn Viết Tư</t>
  </si>
  <si>
    <t>2.4</t>
  </si>
  <si>
    <t>Bùi Văn Tiền</t>
  </si>
  <si>
    <t>2.5</t>
  </si>
  <si>
    <t>2.6</t>
  </si>
  <si>
    <t>Lê Thành Nam</t>
  </si>
  <si>
    <t>2.7</t>
  </si>
  <si>
    <t>Lê Nguyễn Thể Uyên</t>
  </si>
  <si>
    <t>2.8</t>
  </si>
  <si>
    <t>Đinh Văn Thơm</t>
  </si>
  <si>
    <t>2.9</t>
  </si>
  <si>
    <t>Lê Văn Hùng</t>
  </si>
  <si>
    <t>2.10</t>
  </si>
  <si>
    <t xml:space="preserve">Phạm Quang Đuyên </t>
  </si>
  <si>
    <t>Chi cục THA  Lạc Dương</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</si>
  <si>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</si>
  <si>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</si>
  <si>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</si>
  <si>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</si>
  <si>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</si>
  <si>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</si>
  <si>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</si>
  <si>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</si>
  <si>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</si>
  <si>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</si>
  <si>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</si>
  <si>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</si>
  <si>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</si>
  <si>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</si>
  <si>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</si>
  <si>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</si>
  <si>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</si>
  <si>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</si>
  <si>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 xml:space="preserve"> Nguyễn Văn Giáo</t>
  </si>
  <si>
    <t xml:space="preserve"> Nguyễn Quang Kiên</t>
  </si>
  <si>
    <t>6.5</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</si>
  <si>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</si>
  <si>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</si>
  <si>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</si>
  <si>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</si>
  <si>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</si>
  <si>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</si>
  <si>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</si>
  <si>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</si>
  <si>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</si>
  <si>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</si>
  <si>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</si>
  <si>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</si>
  <si>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</si>
  <si>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</si>
  <si>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</si>
  <si>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</si>
  <si>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</si>
  <si>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</si>
  <si>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</si>
  <si>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</si>
  <si>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</si>
  <si>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</si>
  <si>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</si>
  <si>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</si>
  <si>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</si>
  <si>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</si>
  <si>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10.2</t>
  </si>
  <si>
    <t>Trần Như Hải</t>
  </si>
  <si>
    <t>10.3</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</si>
  <si>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</si>
  <si>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</si>
  <si>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</si>
  <si>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</si>
  <si>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</si>
  <si>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</si>
  <si>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</si>
  <si>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</si>
  <si>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</si>
  <si>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</si>
  <si>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</si>
  <si>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</si>
  <si>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</si>
  <si>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</si>
  <si>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</si>
  <si>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</si>
  <si>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</si>
  <si>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</si>
  <si>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</si>
  <si>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</si>
  <si>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</si>
  <si>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</si>
  <si>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6.6</t>
  </si>
  <si>
    <t>6.7</t>
  </si>
  <si>
    <t>8.6</t>
  </si>
  <si>
    <t xml:space="preserve">Mai Văn Hưng </t>
  </si>
  <si>
    <t>9.4</t>
  </si>
  <si>
    <t>Nguyển Trung Lộc</t>
  </si>
  <si>
    <t>3.4</t>
  </si>
  <si>
    <t>7.3</t>
  </si>
  <si>
    <t xml:space="preserve">Trần Ba </t>
  </si>
  <si>
    <t>Trần Ba</t>
  </si>
  <si>
    <t>6.3</t>
  </si>
  <si>
    <t>6.4</t>
  </si>
  <si>
    <t xml:space="preserve">Nguyễn Trung Lộc </t>
  </si>
  <si>
    <t>Nguyễn Sỹ Cần</t>
  </si>
  <si>
    <t>Nguyễn Văn Ban</t>
  </si>
  <si>
    <t>86</t>
  </si>
  <si>
    <t>02 tháng / năm 2018</t>
  </si>
  <si>
    <t>Lâm Đồng, ngày 05 tháng 12 năm 2017</t>
  </si>
  <si>
    <t xml:space="preserve">                      Đơn vị tính: Việc</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</si>
</sst>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49">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2"/>
      <color indexed="8"/>
      <name val="Times New Roman"/>
      <family val="1"/>
    </font>
    <font>
      <sz val="11"/>
      <color indexed="59"/>
      <name val="Times New Roman"/>
      <family val="1"/>
    </font>
    <font>
      <sz val="10"/>
      <color indexed="8"/>
      <name val="Times New Roman"/>
      <family val="1"/>
    </font>
    <font>
      <sz val="11"/>
      <color indexed="8"/>
      <name val="Times New Roman"/>
      <family val="1"/>
    </font>
    <font>
      <sz val="12"/>
      <name val="VNI-Times"/>
      <family val="0"/>
    </font>
    <font>
      <sz val="10"/>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1"/>
      <color rgb="FFFF0000"/>
      <name val="Times New Roman"/>
      <family val="1"/>
    </font>
    <font>
      <b/>
      <sz val="10"/>
      <color rgb="FFFF0000"/>
      <name val="Times New Roman"/>
      <family val="1"/>
    </font>
    <font>
      <b/>
      <sz val="12"/>
      <color rgb="FFFF0000"/>
      <name val="Times New Roman"/>
      <family val="1"/>
    </font>
    <font>
      <b/>
      <sz val="8"/>
      <name val="Times New Roman"/>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indexed="9"/>
        <bgColor indexed="64"/>
      </patternFill>
    </fill>
    <fill>
      <patternFill patternType="solid">
        <fgColor theme="2"/>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color indexed="57"/>
      </left>
      <right style="thin">
        <color indexed="57"/>
      </right>
      <top style="thin">
        <color indexed="57"/>
      </top>
      <bottom style="thin">
        <color indexed="57"/>
      </bottom>
    </border>
    <border>
      <left>
        <color indexed="63"/>
      </left>
      <right style="thin">
        <color indexed="57"/>
      </right>
      <top style="thin">
        <color indexed="57"/>
      </top>
      <bottom style="thin">
        <color indexed="57"/>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
      <left style="thin"/>
      <right style="double"/>
      <top style="double"/>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7"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7"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7"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7"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7"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7"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7"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7"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7"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7"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7"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7"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8"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8"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8"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8"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8"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8"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8"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8"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8"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8"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8"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8"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9"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0" fillId="37" borderId="1" applyNumberFormat="0" applyAlignment="0" applyProtection="0"/>
    <xf numFmtId="0" fontId="39" fillId="38" borderId="2" applyNumberFormat="0" applyAlignment="0" applyProtection="0"/>
    <xf numFmtId="0" fontId="39" fillId="38" borderId="2" applyNumberFormat="0" applyAlignment="0" applyProtection="0"/>
    <xf numFmtId="0" fontId="131"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3"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4"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5"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6"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7" fillId="42" borderId="1" applyNumberFormat="0" applyAlignment="0" applyProtection="0"/>
    <xf numFmtId="0" fontId="46" fillId="9" borderId="2" applyNumberFormat="0" applyAlignment="0" applyProtection="0"/>
    <xf numFmtId="0" fontId="46" fillId="9" borderId="2" applyNumberFormat="0" applyAlignment="0" applyProtection="0"/>
    <xf numFmtId="0" fontId="138"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9"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40"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2"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896">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7" applyNumberFormat="1" applyFont="1" applyFill="1" applyBorder="1" applyAlignment="1">
      <alignment horizontal="left"/>
      <protection/>
    </xf>
    <xf numFmtId="49" fontId="0" fillId="0" borderId="0" xfId="137" applyNumberFormat="1" applyFont="1">
      <alignment/>
      <protection/>
    </xf>
    <xf numFmtId="49" fontId="0" fillId="0" borderId="0" xfId="137" applyNumberFormat="1">
      <alignment/>
      <protection/>
    </xf>
    <xf numFmtId="49" fontId="0" fillId="0" borderId="0" xfId="137" applyNumberFormat="1" applyFont="1" applyAlignment="1">
      <alignment horizontal="left"/>
      <protection/>
    </xf>
    <xf numFmtId="49" fontId="0" fillId="0" borderId="0" xfId="137" applyNumberFormat="1" applyFont="1" applyBorder="1" applyAlignment="1">
      <alignment wrapText="1"/>
      <protection/>
    </xf>
    <xf numFmtId="49" fontId="15" fillId="0" borderId="0" xfId="137" applyNumberFormat="1" applyFont="1" applyAlignment="1">
      <alignment/>
      <protection/>
    </xf>
    <xf numFmtId="49" fontId="0" fillId="0" borderId="0" xfId="137" applyNumberFormat="1" applyFont="1" applyBorder="1" applyAlignment="1">
      <alignment horizontal="left" wrapText="1"/>
      <protection/>
    </xf>
    <xf numFmtId="49" fontId="18" fillId="0" borderId="0" xfId="137" applyNumberFormat="1" applyFont="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Alignment="1">
      <alignment horizontal="center"/>
      <protection/>
    </xf>
    <xf numFmtId="49" fontId="0" fillId="0" borderId="0" xfId="137" applyNumberFormat="1" applyFont="1" applyFill="1">
      <alignment/>
      <protection/>
    </xf>
    <xf numFmtId="49" fontId="13" fillId="47" borderId="22" xfId="137" applyNumberFormat="1" applyFont="1" applyFill="1" applyBorder="1" applyAlignment="1">
      <alignment/>
      <protection/>
    </xf>
    <xf numFmtId="49" fontId="7" fillId="0" borderId="20" xfId="137" applyNumberFormat="1" applyFont="1" applyFill="1" applyBorder="1" applyAlignment="1">
      <alignment horizontal="center" vertical="center" wrapText="1"/>
      <protection/>
    </xf>
    <xf numFmtId="49" fontId="53" fillId="48" borderId="20" xfId="137" applyNumberFormat="1" applyFont="1" applyFill="1" applyBorder="1" applyAlignment="1">
      <alignment horizontal="center"/>
      <protection/>
    </xf>
    <xf numFmtId="49" fontId="7" fillId="0" borderId="21" xfId="137" applyNumberFormat="1" applyFont="1" applyFill="1" applyBorder="1" applyAlignment="1">
      <alignment horizontal="center" vertical="center" wrapText="1"/>
      <protection/>
    </xf>
    <xf numFmtId="49" fontId="7" fillId="0" borderId="20" xfId="137" applyNumberFormat="1" applyFont="1" applyBorder="1" applyAlignment="1">
      <alignment horizontal="center" vertical="center" wrapText="1"/>
      <protection/>
    </xf>
    <xf numFmtId="49" fontId="54" fillId="0" borderId="20" xfId="137" applyNumberFormat="1" applyFont="1" applyFill="1" applyBorder="1" applyAlignment="1">
      <alignment horizontal="center" vertical="center" wrapText="1"/>
      <protection/>
    </xf>
    <xf numFmtId="49" fontId="18" fillId="0" borderId="20" xfId="137" applyNumberFormat="1" applyFont="1" applyBorder="1" applyAlignment="1">
      <alignment horizontal="center" vertical="center"/>
      <protection/>
    </xf>
    <xf numFmtId="3" fontId="0" fillId="0" borderId="20" xfId="137" applyNumberFormat="1" applyFont="1" applyBorder="1" applyAlignment="1">
      <alignment horizontal="center" vertical="center"/>
      <protection/>
    </xf>
    <xf numFmtId="3" fontId="0" fillId="0" borderId="20" xfId="137" applyNumberFormat="1" applyFont="1" applyBorder="1" applyAlignment="1">
      <alignment vertical="center"/>
      <protection/>
    </xf>
    <xf numFmtId="49" fontId="0" fillId="0" borderId="0" xfId="137" applyNumberFormat="1" applyAlignment="1">
      <alignment vertical="center"/>
      <protection/>
    </xf>
    <xf numFmtId="3" fontId="52" fillId="3" borderId="20" xfId="137" applyNumberFormat="1" applyFont="1" applyFill="1" applyBorder="1" applyAlignment="1">
      <alignment vertical="center"/>
      <protection/>
    </xf>
    <xf numFmtId="3" fontId="57" fillId="3" borderId="20" xfId="137" applyNumberFormat="1" applyFont="1" applyFill="1" applyBorder="1" applyAlignment="1">
      <alignment vertical="center"/>
      <protection/>
    </xf>
    <xf numFmtId="49" fontId="58" fillId="0" borderId="20" xfId="137" applyNumberFormat="1" applyFont="1" applyBorder="1" applyAlignment="1">
      <alignment horizontal="center" vertical="center"/>
      <protection/>
    </xf>
    <xf numFmtId="3" fontId="25" fillId="44" borderId="20" xfId="137" applyNumberFormat="1" applyFont="1" applyFill="1" applyBorder="1" applyAlignment="1">
      <alignment vertical="center"/>
      <protection/>
    </xf>
    <xf numFmtId="3" fontId="3" fillId="48" borderId="20" xfId="137" applyNumberFormat="1" applyFont="1" applyFill="1" applyBorder="1" applyAlignment="1">
      <alignment horizontal="center" vertical="center"/>
      <protection/>
    </xf>
    <xf numFmtId="3" fontId="3" fillId="48" borderId="20" xfId="137" applyNumberFormat="1" applyFont="1" applyFill="1" applyBorder="1" applyAlignment="1">
      <alignment vertical="center"/>
      <protection/>
    </xf>
    <xf numFmtId="49" fontId="7" fillId="44" borderId="20" xfId="137" applyNumberFormat="1" applyFont="1" applyFill="1" applyBorder="1" applyAlignment="1">
      <alignment horizontal="center" vertical="center"/>
      <protection/>
    </xf>
    <xf numFmtId="49" fontId="7" fillId="44" borderId="20" xfId="137" applyNumberFormat="1" applyFont="1" applyFill="1" applyBorder="1" applyAlignment="1">
      <alignment horizontal="left" vertical="center"/>
      <protection/>
    </xf>
    <xf numFmtId="3" fontId="28" fillId="48" borderId="20" xfId="137" applyNumberFormat="1" applyFont="1" applyFill="1" applyBorder="1" applyAlignment="1">
      <alignment vertical="center"/>
      <protection/>
    </xf>
    <xf numFmtId="3" fontId="28" fillId="0" borderId="20" xfId="137" applyNumberFormat="1" applyFont="1" applyFill="1" applyBorder="1" applyAlignment="1">
      <alignment vertical="center"/>
      <protection/>
    </xf>
    <xf numFmtId="9" fontId="0" fillId="0" borderId="0" xfId="148" applyFont="1" applyAlignment="1">
      <alignment vertical="center"/>
    </xf>
    <xf numFmtId="49" fontId="7" fillId="44" borderId="23" xfId="137" applyNumberFormat="1" applyFont="1" applyFill="1" applyBorder="1" applyAlignment="1">
      <alignment horizontal="center" vertical="center"/>
      <protection/>
    </xf>
    <xf numFmtId="3" fontId="25" fillId="44" borderId="20" xfId="137" applyNumberFormat="1" applyFont="1" applyFill="1" applyBorder="1" applyAlignment="1">
      <alignment vertical="center"/>
      <protection/>
    </xf>
    <xf numFmtId="49" fontId="4" fillId="0" borderId="20" xfId="137" applyNumberFormat="1" applyFont="1" applyBorder="1" applyAlignment="1">
      <alignment horizontal="center" vertical="center"/>
      <protection/>
    </xf>
    <xf numFmtId="49" fontId="4" fillId="47" borderId="20" xfId="137" applyNumberFormat="1" applyFont="1" applyFill="1" applyBorder="1" applyAlignment="1">
      <alignment horizontal="left" vertical="center"/>
      <protection/>
    </xf>
    <xf numFmtId="49" fontId="5" fillId="47" borderId="20" xfId="137"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7" applyNumberFormat="1" applyFont="1" applyAlignment="1">
      <alignment vertical="center"/>
      <protection/>
    </xf>
    <xf numFmtId="49" fontId="4" fillId="47" borderId="20" xfId="137"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7" applyNumberFormat="1" applyFill="1">
      <alignment/>
      <protection/>
    </xf>
    <xf numFmtId="49" fontId="20" fillId="0" borderId="0" xfId="137" applyNumberFormat="1" applyFont="1">
      <alignment/>
      <protection/>
    </xf>
    <xf numFmtId="49" fontId="28" fillId="0" borderId="0" xfId="137" applyNumberFormat="1" applyFont="1" applyFill="1" applyBorder="1" applyAlignment="1">
      <alignment horizontal="center" wrapText="1"/>
      <protection/>
    </xf>
    <xf numFmtId="49" fontId="59" fillId="0" borderId="0" xfId="137" applyNumberFormat="1" applyFont="1" applyBorder="1">
      <alignment/>
      <protection/>
    </xf>
    <xf numFmtId="49" fontId="60" fillId="0" borderId="0" xfId="137" applyNumberFormat="1" applyFont="1">
      <alignment/>
      <protection/>
    </xf>
    <xf numFmtId="49" fontId="1" fillId="0" borderId="0" xfId="137" applyNumberFormat="1" applyFont="1">
      <alignment/>
      <protection/>
    </xf>
    <xf numFmtId="9" fontId="1" fillId="0" borderId="0" xfId="148" applyFont="1" applyAlignment="1">
      <alignment/>
    </xf>
    <xf numFmtId="49" fontId="61" fillId="0" borderId="0" xfId="137" applyNumberFormat="1" applyFont="1" applyBorder="1">
      <alignment/>
      <protection/>
    </xf>
    <xf numFmtId="49" fontId="25" fillId="0" borderId="0" xfId="137" applyNumberFormat="1" applyFont="1" applyBorder="1" applyAlignment="1">
      <alignment horizontal="center" wrapText="1"/>
      <protection/>
    </xf>
    <xf numFmtId="49" fontId="25" fillId="0" borderId="0" xfId="137" applyNumberFormat="1" applyFont="1" applyFill="1" applyBorder="1" applyAlignment="1">
      <alignment horizontal="center" wrapText="1"/>
      <protection/>
    </xf>
    <xf numFmtId="49" fontId="62" fillId="0" borderId="0" xfId="137" applyNumberFormat="1" applyFont="1" applyBorder="1">
      <alignment/>
      <protection/>
    </xf>
    <xf numFmtId="49" fontId="63" fillId="0" borderId="0" xfId="137" applyNumberFormat="1" applyFont="1" applyBorder="1" applyAlignment="1">
      <alignment wrapText="1"/>
      <protection/>
    </xf>
    <xf numFmtId="49" fontId="2" fillId="0" borderId="0" xfId="137" applyNumberFormat="1" applyFont="1" applyBorder="1">
      <alignment/>
      <protection/>
    </xf>
    <xf numFmtId="49" fontId="40" fillId="0" borderId="0" xfId="137" applyNumberFormat="1" applyFont="1" applyBorder="1" applyAlignment="1">
      <alignment horizontal="center" wrapText="1"/>
      <protection/>
    </xf>
    <xf numFmtId="49" fontId="40" fillId="0" borderId="0" xfId="137" applyNumberFormat="1" applyFont="1" applyFill="1" applyBorder="1" applyAlignment="1">
      <alignment horizontal="center" wrapText="1"/>
      <protection/>
    </xf>
    <xf numFmtId="49" fontId="64" fillId="0" borderId="0" xfId="137" applyNumberFormat="1" applyFont="1" applyBorder="1">
      <alignment/>
      <protection/>
    </xf>
    <xf numFmtId="49" fontId="28" fillId="0" borderId="0" xfId="137" applyNumberFormat="1" applyFont="1">
      <alignment/>
      <protection/>
    </xf>
    <xf numFmtId="49" fontId="28" fillId="0" borderId="0" xfId="137" applyNumberFormat="1" applyFont="1" applyFill="1">
      <alignment/>
      <protection/>
    </xf>
    <xf numFmtId="49" fontId="28" fillId="47" borderId="0" xfId="137" applyNumberFormat="1" applyFont="1" applyFill="1">
      <alignment/>
      <protection/>
    </xf>
    <xf numFmtId="0" fontId="25" fillId="0" borderId="0" xfId="137" applyFont="1" applyAlignment="1">
      <alignment horizontal="center"/>
      <protection/>
    </xf>
    <xf numFmtId="49" fontId="25" fillId="47" borderId="0" xfId="137" applyNumberFormat="1" applyFont="1" applyFill="1" applyAlignment="1">
      <alignment horizontal="center"/>
      <protection/>
    </xf>
    <xf numFmtId="0" fontId="66" fillId="0" borderId="0" xfId="137" applyFont="1" applyAlignment="1">
      <alignment/>
      <protection/>
    </xf>
    <xf numFmtId="0" fontId="3" fillId="0" borderId="0" xfId="137" applyFont="1" applyAlignment="1">
      <alignment/>
      <protection/>
    </xf>
    <xf numFmtId="49" fontId="31" fillId="0" borderId="0" xfId="137" applyNumberFormat="1" applyFont="1">
      <alignment/>
      <protection/>
    </xf>
    <xf numFmtId="3" fontId="0" fillId="0" borderId="0" xfId="137" applyNumberFormat="1" applyFont="1" applyFill="1">
      <alignment/>
      <protection/>
    </xf>
    <xf numFmtId="49" fontId="3" fillId="0" borderId="0" xfId="137" applyNumberFormat="1" applyFont="1" applyFill="1" applyAlignment="1">
      <alignment wrapText="1"/>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19" fillId="0" borderId="22" xfId="137" applyNumberFormat="1" applyFont="1" applyFill="1" applyBorder="1" applyAlignment="1">
      <alignment/>
      <protection/>
    </xf>
    <xf numFmtId="49" fontId="5" fillId="0" borderId="22" xfId="137" applyNumberFormat="1" applyFont="1" applyFill="1" applyBorder="1" applyAlignment="1">
      <alignment horizontal="center"/>
      <protection/>
    </xf>
    <xf numFmtId="49" fontId="0" fillId="0" borderId="0" xfId="137" applyNumberFormat="1" applyFill="1" applyBorder="1">
      <alignment/>
      <protection/>
    </xf>
    <xf numFmtId="49" fontId="6" fillId="0" borderId="20" xfId="137" applyNumberFormat="1" applyFont="1" applyFill="1" applyBorder="1" applyAlignment="1">
      <alignment horizontal="center" vertical="center" wrapText="1"/>
      <protection/>
    </xf>
    <xf numFmtId="49" fontId="19" fillId="0" borderId="20" xfId="137" applyNumberFormat="1" applyFont="1" applyFill="1" applyBorder="1" applyAlignment="1">
      <alignment horizontal="center" vertical="center" wrapText="1"/>
      <protection/>
    </xf>
    <xf numFmtId="3" fontId="29" fillId="3" borderId="20" xfId="137" applyNumberFormat="1" applyFont="1" applyFill="1" applyBorder="1" applyAlignment="1">
      <alignment horizontal="center" vertical="center" wrapText="1"/>
      <protection/>
    </xf>
    <xf numFmtId="3" fontId="69" fillId="3" borderId="20" xfId="137" applyNumberFormat="1" applyFont="1" applyFill="1" applyBorder="1" applyAlignment="1">
      <alignment horizontal="center" vertical="center" wrapText="1"/>
      <protection/>
    </xf>
    <xf numFmtId="3" fontId="6" fillId="44" borderId="20" xfId="137" applyNumberFormat="1" applyFont="1" applyFill="1" applyBorder="1" applyAlignment="1">
      <alignment horizontal="center" vertical="center" wrapText="1"/>
      <protection/>
    </xf>
    <xf numFmtId="49" fontId="7" fillId="0" borderId="20" xfId="137" applyNumberFormat="1" applyFont="1" applyFill="1" applyBorder="1" applyAlignment="1">
      <alignment horizontal="center"/>
      <protection/>
    </xf>
    <xf numFmtId="49" fontId="7" fillId="0" borderId="20" xfId="137" applyNumberFormat="1" applyFont="1" applyFill="1" applyBorder="1" applyAlignment="1">
      <alignment horizontal="left"/>
      <protection/>
    </xf>
    <xf numFmtId="3" fontId="5" fillId="44" borderId="20" xfId="137" applyNumberFormat="1" applyFont="1" applyFill="1" applyBorder="1" applyAlignment="1">
      <alignment horizontal="center" vertical="center" wrapText="1"/>
      <protection/>
    </xf>
    <xf numFmtId="3" fontId="5" fillId="0" borderId="20" xfId="137" applyNumberFormat="1" applyFont="1" applyFill="1" applyBorder="1" applyAlignment="1">
      <alignment horizontal="center" vertical="center" wrapText="1"/>
      <protection/>
    </xf>
    <xf numFmtId="9" fontId="0" fillId="0" borderId="0" xfId="148" applyFont="1" applyFill="1" applyAlignment="1">
      <alignment/>
    </xf>
    <xf numFmtId="49" fontId="7" fillId="44" borderId="23" xfId="137" applyNumberFormat="1" applyFont="1" applyFill="1" applyBorder="1" applyAlignment="1">
      <alignment horizontal="center"/>
      <protection/>
    </xf>
    <xf numFmtId="49" fontId="7" fillId="44" borderId="20" xfId="137" applyNumberFormat="1" applyFont="1" applyFill="1" applyBorder="1" applyAlignment="1">
      <alignment horizontal="left"/>
      <protection/>
    </xf>
    <xf numFmtId="49" fontId="4" fillId="0" borderId="23" xfId="137" applyNumberFormat="1" applyFont="1" applyFill="1" applyBorder="1" applyAlignment="1">
      <alignment horizontal="center"/>
      <protection/>
    </xf>
    <xf numFmtId="49" fontId="4" fillId="47" borderId="20" xfId="137" applyNumberFormat="1" applyFont="1" applyFill="1" applyBorder="1" applyAlignment="1">
      <alignment horizontal="left"/>
      <protection/>
    </xf>
    <xf numFmtId="3" fontId="5" fillId="47" borderId="20" xfId="137" applyNumberFormat="1" applyFont="1" applyFill="1" applyBorder="1" applyAlignment="1">
      <alignment horizontal="center" vertical="center" wrapText="1"/>
      <protection/>
    </xf>
    <xf numFmtId="49" fontId="5" fillId="47" borderId="20" xfId="137" applyNumberFormat="1" applyFont="1" applyFill="1" applyBorder="1" applyAlignment="1">
      <alignment horizontal="left"/>
      <protection/>
    </xf>
    <xf numFmtId="49" fontId="6" fillId="0" borderId="19" xfId="137" applyNumberFormat="1" applyFont="1" applyFill="1" applyBorder="1" applyAlignment="1">
      <alignment horizontal="center"/>
      <protection/>
    </xf>
    <xf numFmtId="49" fontId="6" fillId="0" borderId="19" xfId="137" applyNumberFormat="1" applyFont="1" applyFill="1" applyBorder="1" applyAlignment="1">
      <alignment horizontal="left"/>
      <protection/>
    </xf>
    <xf numFmtId="3" fontId="5" fillId="0" borderId="19" xfId="137" applyNumberFormat="1" applyFont="1" applyFill="1" applyBorder="1" applyAlignment="1">
      <alignment horizontal="center" vertical="center" wrapText="1"/>
      <protection/>
    </xf>
    <xf numFmtId="49" fontId="15" fillId="0" borderId="0" xfId="137" applyNumberFormat="1" applyFont="1" applyFill="1" applyBorder="1" applyAlignment="1">
      <alignment vertical="center" wrapText="1"/>
      <protection/>
    </xf>
    <xf numFmtId="49" fontId="70" fillId="0" borderId="0" xfId="137" applyNumberFormat="1" applyFont="1" applyFill="1">
      <alignment/>
      <protection/>
    </xf>
    <xf numFmtId="49" fontId="4" fillId="0" borderId="0" xfId="137" applyNumberFormat="1" applyFont="1" applyFill="1">
      <alignment/>
      <protection/>
    </xf>
    <xf numFmtId="49" fontId="0" fillId="47" borderId="0" xfId="137" applyNumberFormat="1" applyFont="1" applyFill="1">
      <alignment/>
      <protection/>
    </xf>
    <xf numFmtId="49" fontId="3" fillId="47" borderId="0" xfId="137" applyNumberFormat="1" applyFont="1" applyFill="1" applyAlignment="1">
      <alignment horizontal="center"/>
      <protection/>
    </xf>
    <xf numFmtId="49" fontId="22" fillId="0" borderId="0" xfId="137" applyNumberFormat="1" applyFont="1" applyFill="1">
      <alignment/>
      <protection/>
    </xf>
    <xf numFmtId="49" fontId="3" fillId="0" borderId="0" xfId="137" applyNumberFormat="1" applyFont="1" applyFill="1">
      <alignment/>
      <protection/>
    </xf>
    <xf numFmtId="49" fontId="13" fillId="0" borderId="0" xfId="137" applyNumberFormat="1" applyFont="1" applyFill="1" applyAlignment="1">
      <alignment/>
      <protection/>
    </xf>
    <xf numFmtId="49" fontId="13" fillId="0" borderId="0" xfId="137" applyNumberFormat="1" applyFont="1" applyFill="1" applyAlignment="1">
      <alignment wrapText="1"/>
      <protection/>
    </xf>
    <xf numFmtId="49" fontId="13" fillId="0" borderId="0" xfId="137" applyNumberFormat="1" applyFont="1" applyFill="1" applyAlignment="1">
      <alignment horizontal="left" wrapText="1"/>
      <protection/>
    </xf>
    <xf numFmtId="49" fontId="0" fillId="0" borderId="0" xfId="137" applyNumberFormat="1" applyAlignment="1">
      <alignment horizontal="left"/>
      <protection/>
    </xf>
    <xf numFmtId="49" fontId="0" fillId="0" borderId="0" xfId="137" applyNumberFormat="1" applyFont="1" applyBorder="1" applyAlignment="1">
      <alignment horizontal="left"/>
      <protection/>
    </xf>
    <xf numFmtId="49" fontId="13" fillId="0" borderId="20" xfId="137"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2" fillId="47" borderId="20" xfId="137" applyNumberFormat="1" applyFont="1" applyFill="1" applyBorder="1" applyAlignment="1">
      <alignment horizontal="center" vertical="center"/>
      <protection/>
    </xf>
    <xf numFmtId="3" fontId="17" fillId="3" borderId="20" xfId="137" applyNumberFormat="1" applyFont="1" applyFill="1" applyBorder="1" applyAlignment="1">
      <alignment horizontal="center" vertical="center"/>
      <protection/>
    </xf>
    <xf numFmtId="3" fontId="34" fillId="3" borderId="20" xfId="137" applyNumberFormat="1" applyFont="1" applyFill="1" applyBorder="1" applyAlignment="1">
      <alignment horizontal="center" vertical="center"/>
      <protection/>
    </xf>
    <xf numFmtId="3" fontId="7" fillId="44" borderId="20" xfId="137" applyNumberFormat="1" applyFont="1" applyFill="1" applyBorder="1" applyAlignment="1">
      <alignment horizontal="center" vertical="center"/>
      <protection/>
    </xf>
    <xf numFmtId="3" fontId="7" fillId="44" borderId="20" xfId="137"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7" applyNumberFormat="1" applyFont="1" applyBorder="1" applyAlignment="1">
      <alignment horizontal="center" vertical="center"/>
      <protection/>
    </xf>
    <xf numFmtId="49" fontId="7" fillId="47" borderId="20" xfId="137" applyNumberFormat="1" applyFont="1" applyFill="1" applyBorder="1" applyAlignment="1">
      <alignment horizontal="left" vertical="center"/>
      <protection/>
    </xf>
    <xf numFmtId="3" fontId="4" fillId="47" borderId="20" xfId="137" applyNumberFormat="1" applyFont="1" applyFill="1" applyBorder="1" applyAlignment="1">
      <alignment horizontal="center" vertical="center"/>
      <protection/>
    </xf>
    <xf numFmtId="3" fontId="4" fillId="44" borderId="20" xfId="137" applyNumberFormat="1" applyFont="1" applyFill="1" applyBorder="1" applyAlignment="1">
      <alignment horizontal="center" vertical="center"/>
      <protection/>
    </xf>
    <xf numFmtId="49" fontId="4" fillId="0" borderId="23" xfId="137" applyNumberFormat="1" applyFont="1" applyBorder="1" applyAlignment="1">
      <alignment horizontal="center" vertical="center"/>
      <protection/>
    </xf>
    <xf numFmtId="49" fontId="0" fillId="0" borderId="0" xfId="137" applyNumberFormat="1" applyFont="1" applyAlignment="1">
      <alignment vertical="center"/>
      <protection/>
    </xf>
    <xf numFmtId="3" fontId="4" fillId="0" borderId="20" xfId="137"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7" applyNumberFormat="1" applyFont="1" applyFill="1" applyBorder="1" applyAlignment="1">
      <alignment horizontal="center" vertical="center"/>
      <protection/>
    </xf>
    <xf numFmtId="9" fontId="20" fillId="0" borderId="0" xfId="148" applyFont="1" applyAlignment="1">
      <alignment vertical="center"/>
    </xf>
    <xf numFmtId="49" fontId="4" fillId="0" borderId="0" xfId="137" applyNumberFormat="1" applyFont="1" applyBorder="1" applyAlignment="1">
      <alignment horizontal="center"/>
      <protection/>
    </xf>
    <xf numFmtId="49" fontId="4" fillId="47"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8" applyFont="1" applyAlignment="1">
      <alignment/>
    </xf>
    <xf numFmtId="49" fontId="28" fillId="0" borderId="0" xfId="137"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7" applyNumberFormat="1" applyFont="1" applyAlignment="1">
      <alignment wrapText="1"/>
      <protection/>
    </xf>
    <xf numFmtId="49" fontId="37" fillId="0" borderId="0" xfId="137" applyNumberFormat="1" applyFont="1">
      <alignment/>
      <protection/>
    </xf>
    <xf numFmtId="49" fontId="37" fillId="0" borderId="0" xfId="137" applyNumberFormat="1" applyFont="1" applyAlignment="1">
      <alignment wrapText="1"/>
      <protection/>
    </xf>
    <xf numFmtId="49" fontId="3" fillId="47" borderId="0" xfId="137" applyNumberFormat="1" applyFont="1" applyFill="1" applyAlignment="1">
      <alignment/>
      <protection/>
    </xf>
    <xf numFmtId="49" fontId="72" fillId="0" borderId="0" xfId="137" applyNumberFormat="1" applyFont="1">
      <alignment/>
      <protection/>
    </xf>
    <xf numFmtId="49" fontId="13" fillId="0" borderId="0" xfId="137"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9"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9" fillId="0" borderId="0" xfId="139" applyNumberFormat="1" applyFont="1" applyAlignment="1">
      <alignment horizontal="center"/>
      <protection/>
    </xf>
    <xf numFmtId="49" fontId="13" fillId="0" borderId="0" xfId="139" applyNumberFormat="1" applyFont="1" applyBorder="1" applyAlignment="1">
      <alignment wrapText="1"/>
      <protection/>
    </xf>
    <xf numFmtId="49" fontId="81" fillId="0" borderId="0" xfId="139" applyNumberFormat="1" applyFont="1">
      <alignment/>
      <protection/>
    </xf>
    <xf numFmtId="9" fontId="26" fillId="0" borderId="0" xfId="148"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8"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9"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7"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9"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7"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1" fillId="0" borderId="0" xfId="139" applyNumberFormat="1" applyFont="1">
      <alignment/>
      <protection/>
    </xf>
    <xf numFmtId="49" fontId="31"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5"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8"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1"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2" fillId="0" borderId="0" xfId="139" applyNumberFormat="1" applyFont="1" applyAlignment="1">
      <alignment horizontal="left"/>
      <protection/>
    </xf>
    <xf numFmtId="49" fontId="31"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1"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7"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2" fillId="0" borderId="19" xfId="139" applyNumberFormat="1" applyFont="1" applyFill="1" applyBorder="1" applyAlignment="1">
      <alignment vertical="center"/>
      <protection/>
    </xf>
    <xf numFmtId="49" fontId="31"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3" fillId="0" borderId="0" xfId="139" applyNumberFormat="1" applyFont="1">
      <alignment/>
      <protection/>
    </xf>
    <xf numFmtId="49" fontId="94" fillId="0" borderId="0" xfId="139" applyNumberFormat="1" applyFont="1">
      <alignment/>
      <protection/>
    </xf>
    <xf numFmtId="49" fontId="95" fillId="0" borderId="0" xfId="139" applyNumberFormat="1" applyFont="1" applyAlignment="1">
      <alignment horizontal="center"/>
      <protection/>
    </xf>
    <xf numFmtId="49" fontId="25" fillId="47" borderId="0" xfId="137" applyNumberFormat="1" applyFont="1" applyFill="1" applyAlignment="1">
      <alignment/>
      <protection/>
    </xf>
    <xf numFmtId="49" fontId="80" fillId="0" borderId="0" xfId="139" applyNumberFormat="1" applyFont="1">
      <alignment/>
      <protection/>
    </xf>
    <xf numFmtId="49" fontId="31" fillId="0" borderId="0" xfId="139" applyNumberFormat="1" applyFont="1" applyBorder="1" applyAlignment="1">
      <alignment wrapText="1"/>
      <protection/>
    </xf>
    <xf numFmtId="49" fontId="83" fillId="0" borderId="0" xfId="139" applyNumberFormat="1" applyFont="1">
      <alignment/>
      <protection/>
    </xf>
    <xf numFmtId="49" fontId="78"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6"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2" fillId="0" borderId="0" xfId="139" applyNumberFormat="1" applyFont="1" applyFill="1">
      <alignment/>
      <protection/>
    </xf>
    <xf numFmtId="49" fontId="82"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8" applyFont="1" applyAlignment="1">
      <alignment vertical="center"/>
    </xf>
    <xf numFmtId="0" fontId="3" fillId="0" borderId="0" xfId="139" applyFont="1" applyAlignment="1">
      <alignment horizontal="center"/>
      <protection/>
    </xf>
    <xf numFmtId="0" fontId="25" fillId="0" borderId="0" xfId="139" applyFont="1">
      <alignment/>
      <protection/>
    </xf>
    <xf numFmtId="0" fontId="72" fillId="0" borderId="0" xfId="139" applyFont="1" applyAlignment="1">
      <alignment horizontal="center"/>
      <protection/>
    </xf>
    <xf numFmtId="49" fontId="52" fillId="0" borderId="0" xfId="139" applyNumberFormat="1" applyFont="1">
      <alignment/>
      <protection/>
    </xf>
    <xf numFmtId="49" fontId="97" fillId="0" borderId="0" xfId="139" applyNumberFormat="1" applyFont="1" applyBorder="1" applyAlignment="1">
      <alignment wrapText="1"/>
      <protection/>
    </xf>
    <xf numFmtId="0" fontId="31"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2"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1" applyNumberFormat="1" applyFont="1" applyFill="1" applyBorder="1" applyAlignment="1">
      <alignment horizontal="center" vertical="center"/>
      <protection/>
    </xf>
    <xf numFmtId="3" fontId="57" fillId="47" borderId="20" xfId="135"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35" applyNumberFormat="1" applyFont="1" applyFill="1" applyBorder="1" applyAlignment="1" applyProtection="1">
      <alignment horizontal="center" vertical="center"/>
      <protection/>
    </xf>
    <xf numFmtId="10" fontId="57"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10" fontId="7" fillId="0" borderId="38" xfId="131" applyNumberFormat="1" applyFont="1" applyFill="1" applyBorder="1" applyAlignment="1">
      <alignment horizontal="right" vertical="center"/>
      <protection/>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102"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Fill="1" applyBorder="1" applyAlignment="1" applyProtection="1">
      <alignment horizontal="center" vertical="center"/>
      <protection/>
    </xf>
    <xf numFmtId="49" fontId="30" fillId="0" borderId="38"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49" fontId="0" fillId="0" borderId="0" xfId="0" applyNumberFormat="1" applyFill="1" applyBorder="1" applyAlignment="1">
      <alignment/>
    </xf>
    <xf numFmtId="0" fontId="5" fillId="0" borderId="40"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144" fillId="49" borderId="20" xfId="0" applyFont="1" applyFill="1" applyBorder="1" applyAlignment="1">
      <alignment/>
    </xf>
    <xf numFmtId="49" fontId="6" fillId="50" borderId="20" xfId="0" applyNumberFormat="1" applyFont="1" applyFill="1" applyBorder="1" applyAlignment="1" applyProtection="1">
      <alignment horizontal="center" vertical="center"/>
      <protection/>
    </xf>
    <xf numFmtId="49" fontId="6" fillId="50" borderId="20" xfId="0" applyNumberFormat="1" applyFont="1" applyFill="1" applyBorder="1" applyAlignment="1" applyProtection="1">
      <alignment vertical="center"/>
      <protection/>
    </xf>
    <xf numFmtId="49" fontId="5" fillId="51" borderId="20" xfId="0" applyNumberFormat="1" applyFont="1" applyFill="1" applyBorder="1" applyAlignment="1" applyProtection="1">
      <alignment horizontal="center" vertical="center"/>
      <protection/>
    </xf>
    <xf numFmtId="49" fontId="5" fillId="47" borderId="20" xfId="140" applyNumberFormat="1" applyFont="1" applyFill="1" applyBorder="1" applyAlignment="1" applyProtection="1">
      <alignment vertical="center"/>
      <protection/>
    </xf>
    <xf numFmtId="49" fontId="6" fillId="52" borderId="20" xfId="0" applyNumberFormat="1" applyFont="1" applyFill="1" applyBorder="1" applyAlignment="1" applyProtection="1">
      <alignment horizontal="center" vertical="center"/>
      <protection/>
    </xf>
    <xf numFmtId="49" fontId="6" fillId="52" borderId="20" xfId="0" applyNumberFormat="1" applyFont="1" applyFill="1" applyBorder="1" applyAlignment="1" applyProtection="1">
      <alignment vertical="center"/>
      <protection/>
    </xf>
    <xf numFmtId="49" fontId="4" fillId="51"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protection/>
    </xf>
    <xf numFmtId="49" fontId="5" fillId="0"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wrapText="1"/>
      <protection/>
    </xf>
    <xf numFmtId="49" fontId="105" fillId="47" borderId="20" xfId="0" applyNumberFormat="1" applyFont="1" applyFill="1" applyBorder="1" applyAlignment="1" applyProtection="1">
      <alignment vertical="center"/>
      <protection/>
    </xf>
    <xf numFmtId="0" fontId="5" fillId="0" borderId="26" xfId="0" applyFont="1" applyFill="1" applyBorder="1" applyAlignment="1" applyProtection="1">
      <alignment horizontal="left" vertical="center" wrapText="1"/>
      <protection locked="0"/>
    </xf>
    <xf numFmtId="49" fontId="106" fillId="0" borderId="20" xfId="0" applyNumberFormat="1" applyFont="1" applyFill="1" applyBorder="1" applyAlignment="1" applyProtection="1">
      <alignment vertical="center"/>
      <protection/>
    </xf>
    <xf numFmtId="49" fontId="106" fillId="0" borderId="20" xfId="0" applyNumberFormat="1" applyFont="1" applyFill="1" applyBorder="1" applyAlignment="1">
      <alignment/>
    </xf>
    <xf numFmtId="49" fontId="6" fillId="51" borderId="20" xfId="0" applyNumberFormat="1" applyFont="1" applyFill="1" applyBorder="1" applyAlignment="1" applyProtection="1">
      <alignment horizontal="center" vertical="center"/>
      <protection/>
    </xf>
    <xf numFmtId="49" fontId="4" fillId="47" borderId="20" xfId="140" applyNumberFormat="1" applyFont="1" applyFill="1" applyBorder="1" applyAlignment="1" applyProtection="1">
      <alignment vertical="center"/>
      <protection/>
    </xf>
    <xf numFmtId="49" fontId="6" fillId="51" borderId="20" xfId="0" applyNumberFormat="1" applyFont="1" applyFill="1" applyBorder="1" applyAlignment="1" applyProtection="1">
      <alignment vertical="center"/>
      <protection/>
    </xf>
    <xf numFmtId="49" fontId="4" fillId="0" borderId="20" xfId="0" applyNumberFormat="1" applyFont="1" applyFill="1" applyBorder="1" applyAlignment="1" applyProtection="1">
      <alignment vertical="center"/>
      <protection/>
    </xf>
    <xf numFmtId="49" fontId="7" fillId="52" borderId="20" xfId="0" applyNumberFormat="1" applyFont="1" applyFill="1" applyBorder="1" applyAlignment="1" applyProtection="1">
      <alignment vertical="center"/>
      <protection/>
    </xf>
    <xf numFmtId="49" fontId="104" fillId="0" borderId="20" xfId="0" applyNumberFormat="1" applyFont="1" applyFill="1" applyBorder="1" applyAlignment="1" applyProtection="1">
      <alignment vertical="center"/>
      <protection/>
    </xf>
    <xf numFmtId="49" fontId="4" fillId="47" borderId="20" xfId="0" applyNumberFormat="1" applyFont="1" applyFill="1" applyBorder="1" applyAlignment="1" applyProtection="1">
      <alignment vertical="center" wrapText="1"/>
      <protection/>
    </xf>
    <xf numFmtId="49" fontId="106" fillId="47" borderId="20" xfId="0" applyNumberFormat="1" applyFont="1" applyFill="1" applyBorder="1" applyAlignment="1" applyProtection="1">
      <alignment vertical="center"/>
      <protection/>
    </xf>
    <xf numFmtId="0" fontId="4" fillId="0" borderId="26" xfId="0" applyFont="1" applyFill="1" applyBorder="1" applyAlignment="1" applyProtection="1">
      <alignment horizontal="left" vertical="center" wrapText="1"/>
      <protection locked="0"/>
    </xf>
    <xf numFmtId="49" fontId="3" fillId="50" borderId="26" xfId="0" applyNumberFormat="1" applyFont="1" applyFill="1" applyBorder="1" applyAlignment="1" applyProtection="1">
      <alignment horizontal="center" vertical="center" wrapText="1"/>
      <protection/>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49" fontId="7" fillId="50" borderId="20" xfId="0" applyNumberFormat="1" applyFont="1" applyFill="1" applyBorder="1" applyAlignment="1" applyProtection="1">
      <alignment vertical="center"/>
      <protection/>
    </xf>
    <xf numFmtId="41" fontId="7" fillId="50" borderId="20" xfId="97" applyFont="1" applyFill="1" applyBorder="1" applyAlignment="1">
      <alignment/>
    </xf>
    <xf numFmtId="41" fontId="145" fillId="50" borderId="20" xfId="97" applyFont="1" applyFill="1" applyBorder="1" applyAlignment="1">
      <alignment/>
    </xf>
    <xf numFmtId="49" fontId="3" fillId="50" borderId="25" xfId="0" applyNumberFormat="1" applyFont="1" applyFill="1" applyBorder="1" applyAlignment="1" applyProtection="1">
      <alignment horizontal="center" vertical="center" wrapText="1"/>
      <protection/>
    </xf>
    <xf numFmtId="0" fontId="24" fillId="0" borderId="20" xfId="141" applyFont="1" applyFill="1" applyBorder="1" applyAlignment="1">
      <alignment vertical="center"/>
      <protection/>
    </xf>
    <xf numFmtId="41" fontId="4" fillId="50" borderId="20" xfId="97" applyFont="1" applyFill="1" applyBorder="1" applyAlignment="1">
      <alignment/>
    </xf>
    <xf numFmtId="0" fontId="4" fillId="0" borderId="20" xfId="141" applyFont="1" applyFill="1" applyBorder="1" applyAlignment="1">
      <alignment vertical="center"/>
      <protection/>
    </xf>
    <xf numFmtId="0" fontId="0" fillId="49" borderId="39" xfId="0" applyFill="1" applyBorder="1" applyAlignment="1">
      <alignment/>
    </xf>
    <xf numFmtId="10" fontId="7" fillId="51" borderId="38" xfId="131" applyNumberFormat="1" applyFont="1" applyFill="1" applyBorder="1" applyAlignment="1">
      <alignment horizontal="right" vertical="center"/>
      <protection/>
    </xf>
    <xf numFmtId="41" fontId="146" fillId="50" borderId="20" xfId="97" applyFont="1" applyFill="1" applyBorder="1" applyAlignment="1">
      <alignment/>
    </xf>
    <xf numFmtId="41" fontId="146" fillId="50" borderId="20" xfId="97" applyFont="1" applyFill="1" applyBorder="1" applyAlignment="1">
      <alignment horizontal="right"/>
    </xf>
    <xf numFmtId="41" fontId="146" fillId="52" borderId="20" xfId="97" applyFont="1" applyFill="1" applyBorder="1" applyAlignment="1">
      <alignment/>
    </xf>
    <xf numFmtId="41" fontId="5" fillId="50" borderId="20" xfId="97" applyFont="1" applyFill="1" applyBorder="1" applyAlignment="1">
      <alignment horizontal="right"/>
    </xf>
    <xf numFmtId="49" fontId="5" fillId="51" borderId="20" xfId="0" applyNumberFormat="1" applyFont="1" applyFill="1" applyBorder="1" applyAlignment="1" applyProtection="1">
      <alignment vertical="center"/>
      <protection/>
    </xf>
    <xf numFmtId="41" fontId="146" fillId="52" borderId="20" xfId="0" applyNumberFormat="1" applyFont="1" applyFill="1" applyBorder="1" applyAlignment="1">
      <alignment horizontal="center" vertical="center"/>
    </xf>
    <xf numFmtId="41" fontId="146" fillId="52" borderId="20" xfId="0" applyNumberFormat="1" applyFont="1" applyFill="1" applyBorder="1" applyAlignment="1" applyProtection="1">
      <alignment horizontal="center" vertical="center"/>
      <protection/>
    </xf>
    <xf numFmtId="41" fontId="105" fillId="0" borderId="20" xfId="0" applyNumberFormat="1" applyFont="1" applyFill="1" applyBorder="1" applyAlignment="1">
      <alignment/>
    </xf>
    <xf numFmtId="3" fontId="0" fillId="47" borderId="20" xfId="0" applyNumberFormat="1" applyFont="1" applyFill="1" applyBorder="1" applyAlignment="1" applyProtection="1">
      <alignment vertical="center"/>
      <protection/>
    </xf>
    <xf numFmtId="41" fontId="147" fillId="50" borderId="20" xfId="97" applyFont="1" applyFill="1" applyBorder="1" applyAlignment="1">
      <alignment/>
    </xf>
    <xf numFmtId="41" fontId="147" fillId="52" borderId="20" xfId="97" applyFont="1" applyFill="1" applyBorder="1" applyAlignment="1">
      <alignment/>
    </xf>
    <xf numFmtId="41" fontId="0" fillId="51" borderId="20" xfId="97" applyFont="1" applyFill="1" applyBorder="1" applyAlignment="1" applyProtection="1">
      <alignment vertical="center"/>
      <protection/>
    </xf>
    <xf numFmtId="41" fontId="0" fillId="52" borderId="20" xfId="97" applyFont="1" applyFill="1" applyBorder="1" applyAlignment="1">
      <alignment/>
    </xf>
    <xf numFmtId="41" fontId="0" fillId="51" borderId="20" xfId="97" applyFont="1" applyFill="1" applyBorder="1" applyAlignment="1">
      <alignment/>
    </xf>
    <xf numFmtId="211" fontId="0" fillId="51" borderId="20" xfId="97" applyNumberFormat="1" applyFont="1" applyFill="1" applyBorder="1" applyAlignment="1" applyProtection="1">
      <alignment vertical="center"/>
      <protection/>
    </xf>
    <xf numFmtId="194" fontId="0" fillId="0" borderId="20" xfId="96" applyNumberFormat="1" applyFont="1" applyFill="1" applyBorder="1" applyAlignment="1" applyProtection="1">
      <alignment vertical="center"/>
      <protection/>
    </xf>
    <xf numFmtId="194" fontId="0" fillId="47" borderId="20" xfId="96" applyNumberFormat="1" applyFont="1" applyFill="1" applyBorder="1" applyAlignment="1" applyProtection="1">
      <alignment vertical="center"/>
      <protection/>
    </xf>
    <xf numFmtId="194" fontId="0" fillId="51" borderId="20" xfId="96" applyNumberFormat="1" applyFont="1" applyFill="1" applyBorder="1" applyAlignment="1" applyProtection="1">
      <alignment vertical="center"/>
      <protection/>
    </xf>
    <xf numFmtId="194" fontId="0" fillId="47" borderId="20" xfId="96" applyNumberFormat="1" applyFont="1" applyFill="1" applyBorder="1" applyAlignment="1">
      <alignment/>
    </xf>
    <xf numFmtId="41" fontId="147" fillId="52" borderId="20" xfId="0" applyNumberFormat="1" applyFont="1" applyFill="1" applyBorder="1" applyAlignment="1">
      <alignment vertical="center"/>
    </xf>
    <xf numFmtId="41" fontId="0" fillId="51" borderId="41" xfId="0" applyNumberFormat="1" applyFont="1" applyFill="1" applyBorder="1" applyAlignment="1">
      <alignment vertical="center"/>
    </xf>
    <xf numFmtId="41" fontId="0" fillId="51" borderId="20" xfId="0" applyNumberFormat="1" applyFont="1" applyFill="1" applyBorder="1" applyAlignment="1">
      <alignment vertical="center"/>
    </xf>
    <xf numFmtId="194" fontId="107" fillId="47" borderId="41" xfId="0" applyNumberFormat="1" applyFont="1" applyFill="1" applyBorder="1" applyAlignment="1">
      <alignment vertical="center"/>
    </xf>
    <xf numFmtId="41" fontId="66" fillId="47" borderId="42" xfId="0" applyNumberFormat="1" applyFont="1" applyFill="1" applyBorder="1" applyAlignment="1">
      <alignment vertical="center"/>
    </xf>
    <xf numFmtId="41" fontId="0" fillId="51" borderId="41" xfId="0" applyNumberFormat="1" applyFont="1" applyFill="1" applyBorder="1" applyAlignment="1" applyProtection="1">
      <alignment vertical="center"/>
      <protection/>
    </xf>
    <xf numFmtId="41" fontId="0" fillId="51" borderId="20" xfId="0" applyNumberFormat="1" applyFont="1" applyFill="1" applyBorder="1" applyAlignment="1" applyProtection="1">
      <alignment vertical="center"/>
      <protection/>
    </xf>
    <xf numFmtId="41" fontId="103" fillId="47" borderId="41" xfId="0" applyNumberFormat="1" applyFont="1" applyFill="1" applyBorder="1" applyAlignment="1" applyProtection="1">
      <alignment vertical="center"/>
      <protection/>
    </xf>
    <xf numFmtId="41" fontId="103" fillId="47" borderId="42" xfId="0" applyNumberFormat="1" applyFont="1" applyFill="1" applyBorder="1" applyAlignment="1" applyProtection="1">
      <alignment vertical="center"/>
      <protection/>
    </xf>
    <xf numFmtId="41" fontId="103" fillId="47" borderId="41" xfId="148" applyNumberFormat="1" applyFont="1" applyFill="1" applyBorder="1" applyAlignment="1" applyProtection="1">
      <alignment vertical="center"/>
      <protection/>
    </xf>
    <xf numFmtId="41" fontId="103" fillId="47" borderId="41" xfId="0" applyNumberFormat="1" applyFont="1" applyFill="1" applyBorder="1" applyAlignment="1">
      <alignment/>
    </xf>
    <xf numFmtId="41" fontId="147" fillId="52" borderId="20" xfId="0" applyNumberFormat="1" applyFont="1" applyFill="1" applyBorder="1" applyAlignment="1" applyProtection="1">
      <alignment vertical="center"/>
      <protection/>
    </xf>
    <xf numFmtId="194" fontId="0" fillId="47" borderId="41" xfId="0" applyNumberFormat="1" applyFont="1" applyFill="1" applyBorder="1" applyAlignment="1">
      <alignment vertical="center"/>
    </xf>
    <xf numFmtId="3" fontId="0" fillId="0" borderId="20" xfId="135" applyNumberFormat="1" applyFont="1" applyFill="1" applyBorder="1" applyAlignment="1" applyProtection="1">
      <alignment vertical="center"/>
      <protection/>
    </xf>
    <xf numFmtId="3" fontId="0" fillId="51" borderId="20" xfId="0" applyNumberFormat="1" applyFont="1" applyFill="1" applyBorder="1" applyAlignment="1" applyProtection="1">
      <alignment vertical="center"/>
      <protection/>
    </xf>
    <xf numFmtId="3" fontId="0" fillId="47" borderId="20" xfId="149" applyNumberFormat="1" applyFont="1" applyFill="1" applyBorder="1" applyAlignment="1" applyProtection="1">
      <alignment vertical="center"/>
      <protection/>
    </xf>
    <xf numFmtId="49" fontId="0" fillId="51" borderId="20" xfId="0" applyNumberFormat="1" applyFont="1" applyFill="1" applyBorder="1" applyAlignment="1" applyProtection="1">
      <alignment vertical="center"/>
      <protection/>
    </xf>
    <xf numFmtId="3" fontId="0" fillId="51" borderId="20" xfId="135" applyNumberFormat="1" applyFont="1" applyFill="1" applyBorder="1" applyAlignment="1" applyProtection="1">
      <alignment vertical="center"/>
      <protection/>
    </xf>
    <xf numFmtId="41" fontId="147" fillId="52" borderId="23" xfId="97" applyFont="1" applyFill="1" applyBorder="1" applyAlignment="1">
      <alignment/>
    </xf>
    <xf numFmtId="3" fontId="0" fillId="0" borderId="43" xfId="135" applyNumberFormat="1" applyFont="1" applyFill="1" applyBorder="1" applyAlignment="1" applyProtection="1">
      <alignment vertical="center"/>
      <protection/>
    </xf>
    <xf numFmtId="1" fontId="103" fillId="53" borderId="43" xfId="0" applyNumberFormat="1" applyFont="1" applyFill="1" applyBorder="1" applyAlignment="1" applyProtection="1">
      <alignment vertical="center"/>
      <protection/>
    </xf>
    <xf numFmtId="1" fontId="103" fillId="53" borderId="43" xfId="148" applyNumberFormat="1" applyFont="1" applyFill="1" applyBorder="1" applyAlignment="1" applyProtection="1">
      <alignment vertical="center"/>
      <protection/>
    </xf>
    <xf numFmtId="1" fontId="103" fillId="53" borderId="43" xfId="0" applyNumberFormat="1" applyFont="1" applyFill="1" applyBorder="1" applyAlignment="1">
      <alignment/>
    </xf>
    <xf numFmtId="1" fontId="103" fillId="51" borderId="20" xfId="0" applyNumberFormat="1" applyFont="1" applyFill="1" applyBorder="1" applyAlignment="1" applyProtection="1">
      <alignment vertical="center"/>
      <protection/>
    </xf>
    <xf numFmtId="1" fontId="103" fillId="47" borderId="20" xfId="148" applyNumberFormat="1" applyFont="1" applyFill="1" applyBorder="1" applyAlignment="1" applyProtection="1">
      <alignment vertical="center"/>
      <protection/>
    </xf>
    <xf numFmtId="1" fontId="103" fillId="47" borderId="20" xfId="0" applyNumberFormat="1" applyFont="1" applyFill="1" applyBorder="1" applyAlignment="1">
      <alignment/>
    </xf>
    <xf numFmtId="3" fontId="0" fillId="47" borderId="20" xfId="148" applyNumberFormat="1" applyFont="1" applyFill="1" applyBorder="1" applyAlignment="1" applyProtection="1">
      <alignment vertical="center"/>
      <protection/>
    </xf>
    <xf numFmtId="3" fontId="0" fillId="47" borderId="20" xfId="0" applyNumberFormat="1" applyFont="1" applyFill="1" applyBorder="1" applyAlignment="1">
      <alignment/>
    </xf>
    <xf numFmtId="1" fontId="103" fillId="0" borderId="20" xfId="0" applyNumberFormat="1" applyFont="1" applyFill="1" applyBorder="1" applyAlignment="1" applyProtection="1">
      <alignment vertical="center"/>
      <protection/>
    </xf>
    <xf numFmtId="49" fontId="103" fillId="0" borderId="20" xfId="0" applyNumberFormat="1" applyFont="1" applyFill="1" applyBorder="1" applyAlignment="1" applyProtection="1">
      <alignment vertical="center"/>
      <protection/>
    </xf>
    <xf numFmtId="194" fontId="3" fillId="47" borderId="20" xfId="96" applyNumberFormat="1" applyFont="1" applyFill="1" applyBorder="1" applyAlignment="1" applyProtection="1">
      <alignment vertical="center"/>
      <protection/>
    </xf>
    <xf numFmtId="10" fontId="3" fillId="51" borderId="20" xfId="131" applyNumberFormat="1" applyFont="1" applyFill="1" applyBorder="1" applyAlignment="1">
      <alignment horizontal="right" vertical="center"/>
      <protection/>
    </xf>
    <xf numFmtId="41" fontId="5" fillId="51" borderId="20" xfId="97" applyFont="1" applyFill="1" applyBorder="1" applyAlignment="1" applyProtection="1">
      <alignment vertical="center"/>
      <protection/>
    </xf>
    <xf numFmtId="41" fontId="5" fillId="52" borderId="20" xfId="97" applyFont="1" applyFill="1" applyBorder="1" applyAlignment="1">
      <alignment/>
    </xf>
    <xf numFmtId="41" fontId="5" fillId="51" borderId="20" xfId="97" applyFont="1" applyFill="1" applyBorder="1" applyAlignment="1">
      <alignment/>
    </xf>
    <xf numFmtId="41" fontId="146" fillId="51" borderId="20" xfId="97" applyFont="1" applyFill="1" applyBorder="1" applyAlignment="1">
      <alignment/>
    </xf>
    <xf numFmtId="194" fontId="5" fillId="0" borderId="20" xfId="96" applyNumberFormat="1" applyFont="1" applyFill="1" applyBorder="1" applyAlignment="1" applyProtection="1">
      <alignment vertical="center"/>
      <protection/>
    </xf>
    <xf numFmtId="194" fontId="5" fillId="51" borderId="20" xfId="96" applyNumberFormat="1" applyFont="1" applyFill="1" applyBorder="1" applyAlignment="1" applyProtection="1">
      <alignment vertical="center"/>
      <protection/>
    </xf>
    <xf numFmtId="194" fontId="5" fillId="51" borderId="20" xfId="96" applyNumberFormat="1" applyFont="1" applyFill="1" applyBorder="1" applyAlignment="1">
      <alignment/>
    </xf>
    <xf numFmtId="41" fontId="5" fillId="47" borderId="20" xfId="0" applyNumberFormat="1" applyFont="1" applyFill="1" applyBorder="1" applyAlignment="1">
      <alignment vertical="center"/>
    </xf>
    <xf numFmtId="41" fontId="5" fillId="51" borderId="20" xfId="0" applyNumberFormat="1" applyFont="1" applyFill="1" applyBorder="1" applyAlignment="1">
      <alignment vertical="center"/>
    </xf>
    <xf numFmtId="41" fontId="105" fillId="0" borderId="20" xfId="0" applyNumberFormat="1" applyFont="1" applyFill="1" applyBorder="1" applyAlignment="1" applyProtection="1">
      <alignment vertical="center"/>
      <protection/>
    </xf>
    <xf numFmtId="41" fontId="105" fillId="0" borderId="20" xfId="0" applyNumberFormat="1" applyFont="1" applyFill="1" applyBorder="1" applyAlignment="1">
      <alignment wrapText="1"/>
    </xf>
    <xf numFmtId="41" fontId="5" fillId="47" borderId="20" xfId="0" applyNumberFormat="1" applyFont="1" applyFill="1" applyBorder="1" applyAlignment="1" applyProtection="1">
      <alignment vertical="center"/>
      <protection/>
    </xf>
    <xf numFmtId="41" fontId="5" fillId="51" borderId="20" xfId="0" applyNumberFormat="1" applyFont="1" applyFill="1" applyBorder="1" applyAlignment="1" applyProtection="1">
      <alignment vertical="center"/>
      <protection/>
    </xf>
    <xf numFmtId="41" fontId="105" fillId="47" borderId="20" xfId="0" applyNumberFormat="1" applyFont="1" applyFill="1" applyBorder="1" applyAlignment="1" applyProtection="1">
      <alignment vertical="center"/>
      <protection/>
    </xf>
    <xf numFmtId="3" fontId="5" fillId="47" borderId="20" xfId="96" applyNumberFormat="1" applyFont="1" applyFill="1" applyBorder="1" applyAlignment="1">
      <alignment vertical="center"/>
    </xf>
    <xf numFmtId="41" fontId="105" fillId="47" borderId="20" xfId="148" applyNumberFormat="1" applyFont="1" applyFill="1" applyBorder="1" applyAlignment="1" applyProtection="1">
      <alignment vertical="center"/>
      <protection/>
    </xf>
    <xf numFmtId="41" fontId="105" fillId="47" borderId="20" xfId="0" applyNumberFormat="1" applyFont="1" applyFill="1" applyBorder="1" applyAlignment="1">
      <alignment/>
    </xf>
    <xf numFmtId="41" fontId="146" fillId="54" borderId="20" xfId="97" applyFont="1" applyFill="1" applyBorder="1" applyAlignment="1">
      <alignment/>
    </xf>
    <xf numFmtId="3" fontId="5" fillId="0" borderId="20" xfId="135" applyNumberFormat="1" applyFont="1" applyFill="1" applyBorder="1" applyAlignment="1" applyProtection="1">
      <alignment vertical="center"/>
      <protection/>
    </xf>
    <xf numFmtId="3" fontId="5" fillId="47" borderId="20" xfId="0" applyNumberFormat="1" applyFont="1" applyFill="1" applyBorder="1" applyAlignment="1" applyProtection="1">
      <alignment vertical="center"/>
      <protection/>
    </xf>
    <xf numFmtId="3" fontId="5" fillId="47" borderId="20" xfId="148" applyNumberFormat="1" applyFont="1" applyFill="1" applyBorder="1" applyAlignment="1" applyProtection="1">
      <alignment vertical="center"/>
      <protection/>
    </xf>
    <xf numFmtId="3" fontId="5" fillId="47" borderId="20" xfId="0" applyNumberFormat="1" applyFont="1" applyFill="1" applyBorder="1" applyAlignment="1">
      <alignment/>
    </xf>
    <xf numFmtId="3" fontId="5" fillId="0" borderId="43" xfId="135" applyNumberFormat="1" applyFont="1" applyFill="1" applyBorder="1" applyAlignment="1" applyProtection="1">
      <alignment vertical="center"/>
      <protection/>
    </xf>
    <xf numFmtId="3" fontId="5" fillId="0" borderId="20" xfId="136" applyNumberFormat="1" applyFont="1" applyFill="1" applyBorder="1" applyAlignment="1" applyProtection="1">
      <alignment vertical="center"/>
      <protection/>
    </xf>
    <xf numFmtId="3" fontId="5" fillId="51" borderId="20" xfId="135" applyNumberFormat="1" applyFont="1" applyFill="1" applyBorder="1" applyAlignment="1" applyProtection="1">
      <alignment vertical="center"/>
      <protection/>
    </xf>
    <xf numFmtId="3" fontId="6" fillId="0" borderId="20" xfId="135" applyNumberFormat="1" applyFont="1" applyFill="1" applyBorder="1" applyAlignment="1" applyProtection="1">
      <alignment vertical="center"/>
      <protection/>
    </xf>
    <xf numFmtId="3" fontId="5" fillId="51" borderId="20" xfId="0" applyNumberFormat="1" applyFont="1" applyFill="1" applyBorder="1" applyAlignment="1" applyProtection="1">
      <alignment vertical="center"/>
      <protection/>
    </xf>
    <xf numFmtId="3" fontId="105" fillId="0" borderId="20" xfId="0" applyNumberFormat="1" applyFont="1" applyFill="1" applyBorder="1" applyAlignment="1" applyProtection="1">
      <alignment vertical="center"/>
      <protection/>
    </xf>
    <xf numFmtId="3" fontId="105" fillId="0" borderId="20" xfId="148" applyNumberFormat="1" applyFont="1" applyFill="1" applyBorder="1" applyAlignment="1" applyProtection="1">
      <alignment vertical="center"/>
      <protection/>
    </xf>
    <xf numFmtId="3" fontId="105" fillId="0" borderId="20" xfId="0" applyNumberFormat="1" applyFont="1" applyFill="1" applyBorder="1" applyAlignment="1">
      <alignment/>
    </xf>
    <xf numFmtId="0" fontId="28" fillId="0" borderId="0" xfId="0" applyNumberFormat="1" applyFont="1" applyFill="1" applyAlignment="1">
      <alignment horizontal="center"/>
    </xf>
    <xf numFmtId="3" fontId="108" fillId="47" borderId="20" xfId="96" applyNumberFormat="1" applyFont="1" applyFill="1" applyBorder="1" applyAlignment="1">
      <alignment vertical="center"/>
    </xf>
    <xf numFmtId="41" fontId="29" fillId="47" borderId="20" xfId="0" applyNumberFormat="1" applyFont="1" applyFill="1" applyBorder="1" applyAlignment="1">
      <alignment vertical="center"/>
    </xf>
    <xf numFmtId="49" fontId="0" fillId="51" borderId="20" xfId="0" applyNumberFormat="1" applyFont="1" applyFill="1" applyBorder="1" applyAlignment="1" applyProtection="1">
      <alignment horizontal="right" vertical="center"/>
      <protection/>
    </xf>
    <xf numFmtId="3" fontId="0" fillId="51" borderId="20" xfId="0" applyNumberFormat="1" applyFont="1" applyFill="1" applyBorder="1" applyAlignment="1" applyProtection="1">
      <alignment horizontal="right" vertical="center"/>
      <protection/>
    </xf>
    <xf numFmtId="49" fontId="0" fillId="51" borderId="20" xfId="97" applyNumberFormat="1" applyFont="1" applyFill="1" applyBorder="1" applyAlignment="1">
      <alignment horizontal="right"/>
    </xf>
    <xf numFmtId="41" fontId="0" fillId="51" borderId="20" xfId="97" applyFont="1" applyFill="1" applyBorder="1" applyAlignment="1">
      <alignment horizontal="right"/>
    </xf>
    <xf numFmtId="3" fontId="0" fillId="47" borderId="20" xfId="149" applyNumberFormat="1" applyFont="1" applyFill="1" applyBorder="1" applyAlignment="1" applyProtection="1">
      <alignment horizontal="right" vertical="center"/>
      <protection/>
    </xf>
    <xf numFmtId="41" fontId="7" fillId="50" borderId="26" xfId="97" applyFont="1" applyFill="1" applyBorder="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5"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9"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37" applyNumberFormat="1" applyFont="1" applyBorder="1" applyAlignment="1">
      <alignment horizontal="center" wrapText="1"/>
      <protection/>
    </xf>
    <xf numFmtId="49" fontId="65" fillId="0" borderId="0" xfId="137" applyNumberFormat="1" applyFont="1" applyBorder="1" applyAlignment="1">
      <alignment horizontal="center" wrapText="1"/>
      <protection/>
    </xf>
    <xf numFmtId="49" fontId="40" fillId="0" borderId="0" xfId="137" applyNumberFormat="1" applyFont="1" applyBorder="1" applyAlignment="1">
      <alignment horizontal="center" wrapText="1"/>
      <protection/>
    </xf>
    <xf numFmtId="49" fontId="7" fillId="0" borderId="26" xfId="137" applyNumberFormat="1" applyFont="1" applyBorder="1" applyAlignment="1">
      <alignment horizontal="center" vertical="center" wrapText="1"/>
      <protection/>
    </xf>
    <xf numFmtId="49" fontId="7" fillId="0" borderId="45" xfId="137" applyNumberFormat="1" applyFont="1" applyBorder="1" applyAlignment="1">
      <alignment horizontal="center" vertical="center" wrapText="1"/>
      <protection/>
    </xf>
    <xf numFmtId="49" fontId="7" fillId="0" borderId="25" xfId="137" applyNumberFormat="1" applyFont="1" applyBorder="1" applyAlignment="1">
      <alignment horizontal="center" vertical="center" wrapText="1"/>
      <protection/>
    </xf>
    <xf numFmtId="49" fontId="7" fillId="0" borderId="26" xfId="137" applyNumberFormat="1" applyFont="1" applyFill="1" applyBorder="1" applyAlignment="1">
      <alignment horizontal="center" vertical="center" wrapText="1"/>
      <protection/>
    </xf>
    <xf numFmtId="49" fontId="27" fillId="0" borderId="25" xfId="137" applyNumberFormat="1" applyFont="1" applyFill="1" applyBorder="1" applyAlignment="1">
      <alignment horizontal="center" vertical="center" wrapText="1"/>
      <protection/>
    </xf>
    <xf numFmtId="49" fontId="0" fillId="3" borderId="35" xfId="137" applyNumberFormat="1" applyFont="1" applyFill="1" applyBorder="1" applyAlignment="1">
      <alignment horizontal="center"/>
      <protection/>
    </xf>
    <xf numFmtId="49" fontId="0" fillId="3" borderId="19" xfId="137" applyNumberFormat="1" applyFont="1" applyFill="1" applyBorder="1" applyAlignment="1">
      <alignment horizontal="center"/>
      <protection/>
    </xf>
    <xf numFmtId="49" fontId="0" fillId="3" borderId="36" xfId="137" applyNumberFormat="1" applyFont="1" applyFill="1" applyBorder="1" applyAlignment="1">
      <alignment horizontal="center"/>
      <protection/>
    </xf>
    <xf numFmtId="3" fontId="34" fillId="47" borderId="39" xfId="137" applyNumberFormat="1" applyFont="1" applyFill="1" applyBorder="1" applyAlignment="1" applyProtection="1">
      <alignment horizontal="center" vertical="center" wrapText="1"/>
      <protection/>
    </xf>
    <xf numFmtId="3" fontId="34" fillId="47" borderId="23" xfId="137" applyNumberFormat="1" applyFont="1" applyFill="1" applyBorder="1" applyAlignment="1" applyProtection="1">
      <alignment horizontal="center" vertical="center" wrapText="1"/>
      <protection/>
    </xf>
    <xf numFmtId="49" fontId="7" fillId="0" borderId="20" xfId="137" applyNumberFormat="1" applyFont="1" applyFill="1" applyBorder="1" applyAlignment="1" applyProtection="1">
      <alignment horizontal="center" vertical="center" wrapText="1"/>
      <protection/>
    </xf>
    <xf numFmtId="3" fontId="7" fillId="47" borderId="21" xfId="137" applyNumberFormat="1" applyFont="1" applyFill="1" applyBorder="1" applyAlignment="1" applyProtection="1">
      <alignment horizontal="center" vertical="center" wrapText="1"/>
      <protection/>
    </xf>
    <xf numFmtId="3" fontId="7" fillId="47" borderId="23" xfId="137" applyNumberFormat="1" applyFont="1" applyFill="1" applyBorder="1" applyAlignment="1" applyProtection="1">
      <alignment horizontal="center" vertical="center" wrapText="1"/>
      <protection/>
    </xf>
    <xf numFmtId="49" fontId="0" fillId="0" borderId="0" xfId="137" applyNumberFormat="1" applyFont="1" applyAlignment="1">
      <alignment horizontal="left"/>
      <protection/>
    </xf>
    <xf numFmtId="49" fontId="33" fillId="0" borderId="0" xfId="137" applyNumberFormat="1" applyFont="1" applyAlignment="1">
      <alignment horizontal="center"/>
      <protection/>
    </xf>
    <xf numFmtId="49" fontId="28" fillId="0" borderId="0" xfId="137" applyNumberFormat="1" applyFont="1" applyAlignment="1">
      <alignment horizontal="center" wrapText="1"/>
      <protection/>
    </xf>
    <xf numFmtId="49" fontId="25" fillId="0" borderId="0" xfId="137" applyNumberFormat="1" applyFont="1" applyAlignment="1">
      <alignment horizontal="center"/>
      <protection/>
    </xf>
    <xf numFmtId="0" fontId="16" fillId="0" borderId="20" xfId="137" applyNumberFormat="1" applyFont="1" applyBorder="1" applyAlignment="1">
      <alignment horizontal="center" vertical="center" wrapText="1"/>
      <protection/>
    </xf>
    <xf numFmtId="49" fontId="31" fillId="0" borderId="0" xfId="137" applyNumberFormat="1" applyFont="1" applyBorder="1" applyAlignment="1">
      <alignment horizontal="center" wrapText="1"/>
      <protection/>
    </xf>
    <xf numFmtId="0" fontId="55" fillId="3" borderId="26" xfId="137" applyNumberFormat="1" applyFont="1" applyFill="1" applyBorder="1" applyAlignment="1">
      <alignment horizontal="center" vertical="center" wrapText="1"/>
      <protection/>
    </xf>
    <xf numFmtId="0" fontId="55" fillId="3" borderId="25" xfId="137" applyNumberFormat="1" applyFont="1" applyFill="1" applyBorder="1" applyAlignment="1">
      <alignment horizontal="center" vertical="center" wrapText="1"/>
      <protection/>
    </xf>
    <xf numFmtId="49" fontId="3" fillId="0" borderId="0" xfId="137" applyNumberFormat="1" applyFont="1" applyBorder="1" applyAlignment="1">
      <alignment horizontal="left" wrapText="1"/>
      <protection/>
    </xf>
    <xf numFmtId="49" fontId="0" fillId="0" borderId="0" xfId="137" applyNumberFormat="1" applyFont="1" applyBorder="1" applyAlignment="1">
      <alignment horizontal="left" wrapText="1"/>
      <protection/>
    </xf>
    <xf numFmtId="49" fontId="18" fillId="0" borderId="22" xfId="137" applyNumberFormat="1" applyFont="1" applyFill="1" applyBorder="1" applyAlignment="1">
      <alignment horizontal="center" vertical="center"/>
      <protection/>
    </xf>
    <xf numFmtId="49" fontId="7" fillId="0" borderId="20" xfId="137" applyNumberFormat="1" applyFont="1" applyFill="1" applyBorder="1" applyAlignment="1">
      <alignment horizontal="center" vertical="center" wrapText="1"/>
      <protection/>
    </xf>
    <xf numFmtId="49" fontId="18" fillId="0" borderId="0" xfId="137" applyNumberFormat="1" applyFont="1" applyAlignment="1">
      <alignment horizontal="left"/>
      <protection/>
    </xf>
    <xf numFmtId="49" fontId="14" fillId="47" borderId="0" xfId="137" applyNumberFormat="1" applyFont="1" applyFill="1" applyAlignment="1">
      <alignment horizontal="center" vertical="center" wrapText="1"/>
      <protection/>
    </xf>
    <xf numFmtId="49" fontId="3" fillId="0" borderId="0" xfId="137" applyNumberFormat="1" applyFont="1" applyAlignment="1">
      <alignment horizontal="left"/>
      <protection/>
    </xf>
    <xf numFmtId="0" fontId="25" fillId="0" borderId="0" xfId="137" applyFont="1" applyAlignment="1">
      <alignment horizontal="center"/>
      <protection/>
    </xf>
    <xf numFmtId="49" fontId="25" fillId="47" borderId="0" xfId="137" applyNumberFormat="1" applyFont="1" applyFill="1" applyAlignment="1">
      <alignment horizontal="center"/>
      <protection/>
    </xf>
    <xf numFmtId="49" fontId="7" fillId="0" borderId="25" xfId="137" applyNumberFormat="1" applyFont="1" applyFill="1" applyBorder="1" applyAlignment="1">
      <alignment horizontal="center" vertical="center" wrapText="1"/>
      <protection/>
    </xf>
    <xf numFmtId="0" fontId="7" fillId="0" borderId="35" xfId="137" applyNumberFormat="1" applyFont="1" applyBorder="1" applyAlignment="1">
      <alignment horizontal="center" vertical="center" wrapText="1"/>
      <protection/>
    </xf>
    <xf numFmtId="0" fontId="7" fillId="0" borderId="36" xfId="137" applyNumberFormat="1" applyFont="1" applyBorder="1" applyAlignment="1">
      <alignment horizontal="center" vertical="center" wrapText="1"/>
      <protection/>
    </xf>
    <xf numFmtId="0" fontId="7" fillId="0" borderId="24" xfId="137" applyNumberFormat="1" applyFont="1" applyBorder="1" applyAlignment="1">
      <alignment horizontal="center" vertical="center" wrapText="1"/>
      <protection/>
    </xf>
    <xf numFmtId="0" fontId="7" fillId="0" borderId="44" xfId="137" applyNumberFormat="1" applyFont="1" applyBorder="1" applyAlignment="1">
      <alignment horizontal="center" vertical="center" wrapText="1"/>
      <protection/>
    </xf>
    <xf numFmtId="49" fontId="7" fillId="44" borderId="26" xfId="137" applyNumberFormat="1" applyFont="1" applyFill="1" applyBorder="1" applyAlignment="1">
      <alignment horizontal="center" vertical="center"/>
      <protection/>
    </xf>
    <xf numFmtId="49" fontId="7" fillId="44" borderId="25" xfId="137" applyNumberFormat="1" applyFont="1" applyFill="1" applyBorder="1" applyAlignment="1">
      <alignment horizontal="center" vertical="center"/>
      <protection/>
    </xf>
    <xf numFmtId="0" fontId="56" fillId="3" borderId="26" xfId="137" applyNumberFormat="1" applyFont="1" applyFill="1" applyBorder="1" applyAlignment="1">
      <alignment horizontal="center" vertical="center" wrapText="1"/>
      <protection/>
    </xf>
    <xf numFmtId="0" fontId="56" fillId="3" borderId="25" xfId="137" applyNumberFormat="1" applyFont="1" applyFill="1" applyBorder="1" applyAlignment="1">
      <alignment horizontal="center" vertical="center" wrapText="1"/>
      <protection/>
    </xf>
    <xf numFmtId="49" fontId="3" fillId="0" borderId="0" xfId="137" applyNumberFormat="1" applyFont="1" applyFill="1" applyAlignment="1">
      <alignment horizontal="left"/>
      <protection/>
    </xf>
    <xf numFmtId="49" fontId="6" fillId="0" borderId="20" xfId="137" applyNumberFormat="1" applyFont="1" applyFill="1" applyBorder="1" applyAlignment="1">
      <alignment horizontal="center" vertical="center" wrapText="1"/>
      <protection/>
    </xf>
    <xf numFmtId="49" fontId="6" fillId="0" borderId="26" xfId="137" applyNumberFormat="1" applyFont="1" applyFill="1" applyBorder="1" applyAlignment="1">
      <alignment horizontal="center" vertical="center" wrapText="1"/>
      <protection/>
    </xf>
    <xf numFmtId="49" fontId="6" fillId="0" borderId="45" xfId="137" applyNumberFormat="1" applyFont="1" applyFill="1" applyBorder="1" applyAlignment="1">
      <alignment horizontal="center" vertical="center" wrapText="1"/>
      <protection/>
    </xf>
    <xf numFmtId="49" fontId="6" fillId="0" borderId="25" xfId="137" applyNumberFormat="1" applyFont="1" applyFill="1" applyBorder="1" applyAlignment="1">
      <alignment horizontal="center" vertical="center" wrapText="1"/>
      <protection/>
    </xf>
    <xf numFmtId="49" fontId="18"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3" fillId="0" borderId="0" xfId="137" applyNumberFormat="1" applyFont="1" applyFill="1" applyAlignment="1">
      <alignment horizontal="center" vertical="top" wrapText="1"/>
      <protection/>
    </xf>
    <xf numFmtId="49" fontId="68" fillId="3" borderId="26" xfId="137" applyNumberFormat="1" applyFont="1" applyFill="1" applyBorder="1" applyAlignment="1">
      <alignment horizontal="center" vertical="center" wrapText="1"/>
      <protection/>
    </xf>
    <xf numFmtId="49" fontId="68" fillId="3" borderId="25" xfId="137" applyNumberFormat="1" applyFont="1" applyFill="1" applyBorder="1" applyAlignment="1">
      <alignment horizontal="center" vertical="center" wrapText="1"/>
      <protection/>
    </xf>
    <xf numFmtId="49" fontId="7" fillId="44" borderId="26" xfId="137" applyNumberFormat="1" applyFont="1" applyFill="1" applyBorder="1" applyAlignment="1">
      <alignment horizontal="center"/>
      <protection/>
    </xf>
    <xf numFmtId="49" fontId="7" fillId="44" borderId="25" xfId="137" applyNumberFormat="1" applyFont="1" applyFill="1" applyBorder="1" applyAlignment="1">
      <alignment horizontal="center"/>
      <protection/>
    </xf>
    <xf numFmtId="49" fontId="21" fillId="0" borderId="26" xfId="137" applyNumberFormat="1" applyFont="1" applyFill="1" applyBorder="1" applyAlignment="1">
      <alignment horizontal="center" vertical="center" wrapText="1"/>
      <protection/>
    </xf>
    <xf numFmtId="49" fontId="21" fillId="0" borderId="25" xfId="137" applyNumberFormat="1" applyFont="1" applyFill="1" applyBorder="1" applyAlignment="1">
      <alignment horizontal="center" vertical="center" wrapText="1"/>
      <protection/>
    </xf>
    <xf numFmtId="0" fontId="6" fillId="0" borderId="35" xfId="137" applyNumberFormat="1" applyFont="1" applyFill="1" applyBorder="1" applyAlignment="1">
      <alignment horizontal="center" vertical="center" wrapText="1"/>
      <protection/>
    </xf>
    <xf numFmtId="0" fontId="6" fillId="0" borderId="36" xfId="137" applyNumberFormat="1" applyFont="1" applyFill="1" applyBorder="1" applyAlignment="1">
      <alignment horizontal="center" vertical="center" wrapText="1"/>
      <protection/>
    </xf>
    <xf numFmtId="0" fontId="6" fillId="0" borderId="24" xfId="137" applyNumberFormat="1" applyFont="1" applyFill="1" applyBorder="1" applyAlignment="1">
      <alignment horizontal="center" vertical="center" wrapText="1"/>
      <protection/>
    </xf>
    <xf numFmtId="0" fontId="6" fillId="0" borderId="44" xfId="137" applyNumberFormat="1" applyFont="1" applyFill="1" applyBorder="1" applyAlignment="1">
      <alignment horizontal="center" vertical="center" wrapText="1"/>
      <protection/>
    </xf>
    <xf numFmtId="0" fontId="6" fillId="0" borderId="27" xfId="137" applyNumberFormat="1" applyFont="1" applyFill="1" applyBorder="1" applyAlignment="1">
      <alignment horizontal="center" vertical="center" wrapText="1"/>
      <protection/>
    </xf>
    <xf numFmtId="0" fontId="6" fillId="0" borderId="37" xfId="137" applyNumberFormat="1" applyFont="1" applyFill="1" applyBorder="1" applyAlignment="1">
      <alignment horizontal="center" vertical="center" wrapText="1"/>
      <protection/>
    </xf>
    <xf numFmtId="49" fontId="6" fillId="0" borderId="39" xfId="137" applyNumberFormat="1" applyFont="1" applyFill="1" applyBorder="1" applyAlignment="1">
      <alignment horizontal="center" vertical="center" wrapText="1"/>
      <protection/>
    </xf>
    <xf numFmtId="49" fontId="6" fillId="0" borderId="23" xfId="137" applyNumberFormat="1" applyFont="1" applyFill="1" applyBorder="1" applyAlignment="1">
      <alignment horizontal="center" vertical="center" wrapText="1"/>
      <protection/>
    </xf>
    <xf numFmtId="49" fontId="3" fillId="0" borderId="20" xfId="137" applyNumberFormat="1" applyFont="1" applyFill="1" applyBorder="1" applyAlignment="1">
      <alignment horizontal="center"/>
      <protection/>
    </xf>
    <xf numFmtId="49" fontId="67" fillId="3" borderId="26" xfId="137" applyNumberFormat="1" applyFont="1" applyFill="1" applyBorder="1" applyAlignment="1">
      <alignment horizontal="center" vertical="center" wrapText="1"/>
      <protection/>
    </xf>
    <xf numFmtId="49" fontId="67" fillId="3" borderId="25"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3" fillId="0" borderId="0" xfId="137" applyNumberFormat="1" applyFont="1" applyFill="1" applyBorder="1" applyAlignment="1">
      <alignment horizontal="left"/>
      <protection/>
    </xf>
    <xf numFmtId="49" fontId="3" fillId="0" borderId="0" xfId="137" applyNumberFormat="1" applyFont="1" applyFill="1" applyBorder="1" applyAlignment="1">
      <alignment horizontal="left" wrapText="1"/>
      <protection/>
    </xf>
    <xf numFmtId="49" fontId="0" fillId="0" borderId="0" xfId="137" applyNumberFormat="1" applyFont="1" applyFill="1" applyBorder="1" applyAlignment="1">
      <alignment horizontal="left" wrapText="1"/>
      <protection/>
    </xf>
    <xf numFmtId="49" fontId="6" fillId="0" borderId="22" xfId="137" applyNumberFormat="1" applyFont="1" applyFill="1" applyBorder="1" applyAlignment="1">
      <alignment horizontal="center" vertical="center" wrapText="1"/>
      <protection/>
    </xf>
    <xf numFmtId="49" fontId="15" fillId="0" borderId="0" xfId="137" applyNumberFormat="1" applyFont="1" applyFill="1" applyBorder="1" applyAlignment="1">
      <alignment horizontal="center" vertical="center" wrapText="1"/>
      <protection/>
    </xf>
    <xf numFmtId="49" fontId="13" fillId="0" borderId="0" xfId="137" applyNumberFormat="1" applyFont="1" applyFill="1" applyAlignment="1">
      <alignment horizontal="left" wrapText="1"/>
      <protection/>
    </xf>
    <xf numFmtId="49" fontId="13" fillId="0" borderId="0" xfId="137" applyNumberFormat="1" applyFont="1" applyFill="1" applyAlignment="1">
      <alignment horizontal="center" wrapText="1"/>
      <protection/>
    </xf>
    <xf numFmtId="0" fontId="3" fillId="0" borderId="0" xfId="137" applyFont="1" applyAlignment="1">
      <alignment horizontal="center"/>
      <protection/>
    </xf>
    <xf numFmtId="49" fontId="3" fillId="47" borderId="0" xfId="137" applyNumberFormat="1" applyFont="1" applyFill="1" applyAlignment="1">
      <alignment horizontal="center"/>
      <protection/>
    </xf>
    <xf numFmtId="49" fontId="23" fillId="0" borderId="0" xfId="137" applyNumberFormat="1" applyFont="1" applyFill="1" applyBorder="1" applyAlignment="1">
      <alignment horizontal="center" wrapText="1"/>
      <protection/>
    </xf>
    <xf numFmtId="49" fontId="15" fillId="0" borderId="0" xfId="137" applyNumberFormat="1" applyFont="1" applyFill="1" applyBorder="1" applyAlignment="1">
      <alignment horizontal="center" wrapText="1"/>
      <protection/>
    </xf>
    <xf numFmtId="49" fontId="71" fillId="0" borderId="0" xfId="137" applyNumberFormat="1" applyFont="1" applyFill="1" applyAlignment="1">
      <alignment horizontal="center"/>
      <protection/>
    </xf>
    <xf numFmtId="49" fontId="18" fillId="0" borderId="0" xfId="137" applyNumberFormat="1" applyFont="1" applyFill="1" applyAlignment="1">
      <alignment horizontal="center"/>
      <protection/>
    </xf>
    <xf numFmtId="49" fontId="3" fillId="0" borderId="20" xfId="137" applyNumberFormat="1" applyFont="1" applyFill="1" applyBorder="1" applyAlignment="1">
      <alignment horizontal="center" vertical="center" wrapText="1"/>
      <protection/>
    </xf>
    <xf numFmtId="49" fontId="20" fillId="0" borderId="20" xfId="137" applyNumberFormat="1" applyFont="1" applyFill="1" applyBorder="1" applyAlignment="1">
      <alignment horizontal="center" vertical="center" wrapText="1"/>
      <protection/>
    </xf>
    <xf numFmtId="49" fontId="3" fillId="0" borderId="20" xfId="137" applyNumberFormat="1" applyFont="1" applyBorder="1" applyAlignment="1">
      <alignment horizontal="center"/>
      <protection/>
    </xf>
    <xf numFmtId="49" fontId="14" fillId="0" borderId="0" xfId="137" applyNumberFormat="1" applyFont="1" applyAlignment="1">
      <alignment horizontal="center" wrapText="1"/>
      <protection/>
    </xf>
    <xf numFmtId="49" fontId="18" fillId="0" borderId="22" xfId="137" applyNumberFormat="1" applyFont="1" applyBorder="1" applyAlignment="1">
      <alignment horizontal="left"/>
      <protection/>
    </xf>
    <xf numFmtId="49" fontId="18" fillId="0" borderId="0" xfId="137" applyNumberFormat="1" applyFont="1" applyAlignment="1">
      <alignment horizontal="center"/>
      <protection/>
    </xf>
    <xf numFmtId="49" fontId="56" fillId="3" borderId="26" xfId="137" applyNumberFormat="1" applyFont="1" applyFill="1" applyBorder="1" applyAlignment="1">
      <alignment horizontal="center" wrapText="1"/>
      <protection/>
    </xf>
    <xf numFmtId="49" fontId="56" fillId="3" borderId="25" xfId="137" applyNumberFormat="1" applyFont="1" applyFill="1" applyBorder="1" applyAlignment="1">
      <alignment horizontal="center" wrapText="1"/>
      <protection/>
    </xf>
    <xf numFmtId="49" fontId="55" fillId="3" borderId="26" xfId="137" applyNumberFormat="1" applyFont="1" applyFill="1" applyBorder="1" applyAlignment="1">
      <alignment horizontal="center" wrapText="1"/>
      <protection/>
    </xf>
    <xf numFmtId="49" fontId="55" fillId="3" borderId="25" xfId="137" applyNumberFormat="1" applyFont="1" applyFill="1" applyBorder="1" applyAlignment="1">
      <alignment horizontal="center" wrapText="1"/>
      <protection/>
    </xf>
    <xf numFmtId="49" fontId="18" fillId="0" borderId="0" xfId="137" applyNumberFormat="1" applyFont="1" applyBorder="1" applyAlignment="1">
      <alignment horizontal="left"/>
      <protection/>
    </xf>
    <xf numFmtId="49" fontId="28" fillId="0" borderId="0" xfId="137" applyNumberFormat="1" applyFont="1" applyAlignment="1">
      <alignment horizontal="center"/>
      <protection/>
    </xf>
    <xf numFmtId="49" fontId="0" fillId="0" borderId="0" xfId="137" applyNumberFormat="1" applyFont="1" applyAlignment="1">
      <alignment horizontal="left" wrapText="1"/>
      <protection/>
    </xf>
    <xf numFmtId="49" fontId="3" fillId="0" borderId="0" xfId="137" applyNumberFormat="1" applyFont="1" applyAlignment="1">
      <alignment horizontal="left" wrapText="1"/>
      <protection/>
    </xf>
    <xf numFmtId="49" fontId="0" fillId="0" borderId="0" xfId="137" applyNumberFormat="1" applyFont="1" applyAlignment="1">
      <alignment/>
      <protection/>
    </xf>
    <xf numFmtId="49" fontId="31" fillId="0" borderId="0" xfId="137" applyNumberFormat="1" applyFont="1" applyBorder="1" applyAlignment="1">
      <alignment horizontal="center"/>
      <protection/>
    </xf>
    <xf numFmtId="49" fontId="25" fillId="0" borderId="0" xfId="137" applyNumberFormat="1" applyFont="1" applyBorder="1" applyAlignment="1">
      <alignment horizontal="center"/>
      <protection/>
    </xf>
    <xf numFmtId="49" fontId="7" fillId="0" borderId="35" xfId="137" applyNumberFormat="1" applyFont="1" applyFill="1" applyBorder="1" applyAlignment="1">
      <alignment horizontal="center" vertical="center" wrapText="1"/>
      <protection/>
    </xf>
    <xf numFmtId="49" fontId="7" fillId="0" borderId="36" xfId="137" applyNumberFormat="1" applyFont="1" applyFill="1" applyBorder="1" applyAlignment="1">
      <alignment horizontal="center" vertical="center" wrapText="1"/>
      <protection/>
    </xf>
    <xf numFmtId="49" fontId="7" fillId="0" borderId="24" xfId="137" applyNumberFormat="1" applyFont="1" applyFill="1" applyBorder="1" applyAlignment="1">
      <alignment horizontal="center" vertical="center" wrapText="1"/>
      <protection/>
    </xf>
    <xf numFmtId="49" fontId="7" fillId="0" borderId="44" xfId="137" applyNumberFormat="1" applyFont="1" applyFill="1" applyBorder="1" applyAlignment="1">
      <alignment horizontal="center" vertical="center" wrapText="1"/>
      <protection/>
    </xf>
    <xf numFmtId="49" fontId="7" fillId="0" borderId="27" xfId="137" applyNumberFormat="1" applyFont="1" applyFill="1" applyBorder="1" applyAlignment="1">
      <alignment horizontal="center" vertical="center" wrapText="1"/>
      <protection/>
    </xf>
    <xf numFmtId="49" fontId="7" fillId="0" borderId="37" xfId="137" applyNumberFormat="1" applyFont="1" applyFill="1" applyBorder="1" applyAlignment="1">
      <alignment horizontal="center" vertical="center" wrapText="1"/>
      <protection/>
    </xf>
    <xf numFmtId="49" fontId="13" fillId="0" borderId="0" xfId="137" applyNumberFormat="1" applyFont="1" applyBorder="1" applyAlignment="1">
      <alignment wrapText="1"/>
      <protection/>
    </xf>
    <xf numFmtId="49" fontId="13" fillId="0" borderId="0" xfId="137" applyNumberFormat="1" applyFont="1" applyBorder="1" applyAlignment="1">
      <alignment horizontal="center" wrapText="1"/>
      <protection/>
    </xf>
    <xf numFmtId="49" fontId="7" fillId="44" borderId="26" xfId="137" applyNumberFormat="1" applyFont="1" applyFill="1" applyBorder="1" applyAlignment="1">
      <alignment horizontal="center" vertical="center" wrapText="1"/>
      <protection/>
    </xf>
    <xf numFmtId="49" fontId="7" fillId="44" borderId="25" xfId="137" applyNumberFormat="1" applyFont="1" applyFill="1" applyBorder="1" applyAlignment="1">
      <alignment horizontal="center" vertical="center" wrapText="1"/>
      <protection/>
    </xf>
    <xf numFmtId="49" fontId="16" fillId="0" borderId="26" xfId="137" applyNumberFormat="1" applyFont="1" applyBorder="1" applyAlignment="1">
      <alignment horizontal="center" wrapText="1"/>
      <protection/>
    </xf>
    <xf numFmtId="49" fontId="16" fillId="0" borderId="25" xfId="137" applyNumberFormat="1" applyFont="1" applyBorder="1" applyAlignment="1">
      <alignment horizontal="center" wrapText="1"/>
      <protection/>
    </xf>
    <xf numFmtId="49" fontId="28" fillId="0" borderId="0" xfId="137" applyNumberFormat="1" applyFont="1" applyBorder="1" applyAlignment="1">
      <alignment horizontal="center" wrapText="1"/>
      <protection/>
    </xf>
    <xf numFmtId="49" fontId="6" fillId="0" borderId="20" xfId="139" applyNumberFormat="1" applyFont="1" applyFill="1" applyBorder="1" applyAlignment="1">
      <alignment horizontal="center" vertical="center" wrapText="1"/>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4"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6" fillId="0" borderId="45"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3"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6" fillId="3" borderId="26" xfId="139" applyNumberFormat="1" applyFont="1" applyFill="1" applyBorder="1" applyAlignment="1">
      <alignment horizontal="center" vertical="center" wrapText="1"/>
      <protection/>
    </xf>
    <xf numFmtId="49" fontId="86"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1"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76" fillId="4" borderId="21" xfId="139" applyNumberFormat="1" applyFont="1" applyFill="1" applyBorder="1" applyAlignment="1">
      <alignment horizontal="center" vertical="center" wrapText="1"/>
      <protection/>
    </xf>
    <xf numFmtId="49" fontId="76" fillId="4" borderId="39" xfId="139" applyNumberFormat="1" applyFont="1" applyFill="1" applyBorder="1" applyAlignment="1">
      <alignment horizontal="center" vertical="center" wrapText="1"/>
      <protection/>
    </xf>
    <xf numFmtId="49" fontId="76"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4" fillId="0" borderId="26" xfId="139" applyNumberFormat="1" applyFont="1" applyBorder="1" applyAlignment="1">
      <alignment horizontal="center" vertical="center" wrapText="1"/>
      <protection/>
    </xf>
    <xf numFmtId="49" fontId="84" fillId="0" borderId="25" xfId="139" applyNumberFormat="1" applyFont="1" applyBorder="1" applyAlignment="1">
      <alignment horizontal="center" vertical="center" wrapText="1"/>
      <protection/>
    </xf>
    <xf numFmtId="49" fontId="31" fillId="0" borderId="0" xfId="139" applyNumberFormat="1" applyFont="1" applyBorder="1" applyAlignment="1">
      <alignment horizontal="center" wrapText="1"/>
      <protection/>
    </xf>
    <xf numFmtId="49" fontId="6" fillId="0" borderId="21" xfId="139" applyNumberFormat="1" applyFont="1" applyFill="1" applyBorder="1" applyAlignment="1">
      <alignment horizontal="center" vertical="center" wrapText="1"/>
      <protection/>
    </xf>
    <xf numFmtId="49" fontId="6" fillId="0" borderId="39"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1" fillId="0" borderId="0" xfId="139" applyNumberFormat="1" applyFont="1" applyBorder="1" applyAlignment="1">
      <alignment horizontal="center"/>
      <protection/>
    </xf>
    <xf numFmtId="0" fontId="6" fillId="0" borderId="20" xfId="139" applyFont="1" applyBorder="1" applyAlignment="1">
      <alignment horizontal="center" vertical="center" wrapText="1"/>
      <protection/>
    </xf>
    <xf numFmtId="0" fontId="6" fillId="0" borderId="20" xfId="139" applyFont="1" applyBorder="1" applyAlignment="1">
      <alignment horizontal="center" vertical="center"/>
      <protection/>
    </xf>
    <xf numFmtId="0" fontId="6" fillId="0" borderId="20" xfId="139" applyFont="1" applyFill="1" applyBorder="1" applyAlignment="1">
      <alignment horizontal="center" vertical="center" wrapText="1"/>
      <protection/>
    </xf>
    <xf numFmtId="0" fontId="12" fillId="0" borderId="20" xfId="139" applyFont="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14" fillId="0" borderId="0" xfId="139" applyFont="1" applyAlignment="1">
      <alignment horizontal="center"/>
      <protection/>
    </xf>
    <xf numFmtId="0" fontId="33"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4"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45" xfId="139" applyFont="1" applyBorder="1" applyAlignment="1">
      <alignment horizontal="center" vertical="center"/>
      <protection/>
    </xf>
    <xf numFmtId="0" fontId="6" fillId="0" borderId="25" xfId="139" applyFont="1" applyBorder="1" applyAlignment="1">
      <alignment horizontal="center" vertical="center"/>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3" fontId="0" fillId="47" borderId="0" xfId="139" applyNumberFormat="1" applyFont="1" applyFill="1" applyBorder="1" applyAlignment="1">
      <alignment horizontal="left"/>
      <protection/>
    </xf>
    <xf numFmtId="0" fontId="13" fillId="0" borderId="22" xfId="139" applyFont="1" applyBorder="1" applyAlignment="1">
      <alignment horizontal="left"/>
      <protection/>
    </xf>
    <xf numFmtId="0" fontId="6" fillId="0" borderId="26" xfId="139" applyFont="1" applyBorder="1" applyAlignment="1">
      <alignment horizontal="center" vertical="center"/>
      <protection/>
    </xf>
    <xf numFmtId="0" fontId="31" fillId="0" borderId="0" xfId="139" applyNumberFormat="1" applyFont="1" applyBorder="1" applyAlignment="1">
      <alignment horizontal="center"/>
      <protection/>
    </xf>
    <xf numFmtId="0" fontId="31" fillId="0" borderId="0" xfId="139" applyFont="1" applyBorder="1" applyAlignment="1">
      <alignment horizontal="center" wrapText="1"/>
      <protection/>
    </xf>
    <xf numFmtId="0" fontId="25" fillId="0" borderId="0" xfId="139" applyFont="1" applyBorder="1" applyAlignment="1">
      <alignment horizont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25" fillId="0" borderId="0" xfId="139" applyNumberFormat="1" applyFont="1" applyBorder="1" applyAlignment="1">
      <alignment horizontal="center"/>
      <protection/>
    </xf>
    <xf numFmtId="0" fontId="68" fillId="3" borderId="26" xfId="139" applyFont="1" applyFill="1" applyBorder="1" applyAlignment="1">
      <alignment horizontal="center" vertical="center" wrapText="1"/>
      <protection/>
    </xf>
    <xf numFmtId="0" fontId="68" fillId="3" borderId="25" xfId="139" applyFont="1" applyFill="1" applyBorder="1" applyAlignment="1">
      <alignment horizontal="center" vertical="center" wrapText="1"/>
      <protection/>
    </xf>
    <xf numFmtId="0" fontId="88" fillId="0" borderId="0" xfId="139" applyFont="1" applyAlignment="1">
      <alignment horizontal="center"/>
      <protection/>
    </xf>
    <xf numFmtId="0" fontId="6" fillId="0" borderId="26"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39"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49" fontId="79"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7" fillId="3" borderId="26" xfId="139" applyNumberFormat="1" applyFont="1" applyFill="1" applyBorder="1" applyAlignment="1">
      <alignment horizontal="center" vertical="center" wrapText="1"/>
      <protection/>
    </xf>
    <xf numFmtId="49" fontId="77" fillId="3" borderId="25" xfId="139" applyNumberFormat="1" applyFont="1" applyFill="1" applyBorder="1" applyAlignment="1">
      <alignment horizontal="center" vertical="center" wrapText="1"/>
      <protection/>
    </xf>
    <xf numFmtId="49" fontId="75" fillId="3" borderId="26" xfId="139" applyNumberFormat="1" applyFont="1" applyFill="1" applyBorder="1" applyAlignment="1">
      <alignment horizontal="center" vertical="center" wrapText="1"/>
      <protection/>
    </xf>
    <xf numFmtId="49" fontId="75" fillId="3" borderId="25" xfId="139" applyNumberFormat="1" applyFont="1" applyFill="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19" fillId="0" borderId="22" xfId="139" applyNumberFormat="1" applyFont="1" applyBorder="1" applyAlignment="1">
      <alignment horizontal="center"/>
      <protection/>
    </xf>
    <xf numFmtId="49" fontId="74"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90" fillId="3" borderId="26" xfId="139" applyNumberFormat="1" applyFont="1" applyFill="1" applyBorder="1" applyAlignment="1">
      <alignment horizontal="center" vertical="center" wrapText="1"/>
      <protection/>
    </xf>
    <xf numFmtId="49" fontId="90" fillId="3" borderId="25" xfId="139" applyNumberFormat="1" applyFont="1" applyFill="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6" fillId="0" borderId="39" xfId="139" applyNumberFormat="1" applyFont="1" applyBorder="1" applyAlignment="1">
      <alignment horizontal="center" vertical="center" wrapText="1"/>
      <protection/>
    </xf>
    <xf numFmtId="49" fontId="6" fillId="0" borderId="45"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18" fillId="0" borderId="22" xfId="139" applyNumberFormat="1" applyFont="1" applyBorder="1" applyAlignment="1">
      <alignment horizontal="left"/>
      <protection/>
    </xf>
    <xf numFmtId="49" fontId="31" fillId="0" borderId="0" xfId="139" applyNumberFormat="1" applyFont="1" applyBorder="1" applyAlignment="1">
      <alignment horizontal="left" wrapText="1"/>
      <protection/>
    </xf>
    <xf numFmtId="49" fontId="6" fillId="0" borderId="45" xfId="139" applyNumberFormat="1" applyFont="1" applyFill="1" applyBorder="1" applyAlignment="1">
      <alignment horizontal="center" vertical="center" wrapText="1"/>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13" fillId="0" borderId="22" xfId="139" applyNumberFormat="1" applyFont="1" applyFill="1" applyBorder="1" applyAlignment="1">
      <alignment horizontal="center" vertical="center"/>
      <protection/>
    </xf>
    <xf numFmtId="49" fontId="0" fillId="0" borderId="0" xfId="139" applyNumberFormat="1" applyFont="1" applyFill="1" applyAlignment="1">
      <alignment horizontal="left"/>
      <protection/>
    </xf>
    <xf numFmtId="49" fontId="18" fillId="0" borderId="0" xfId="139" applyNumberFormat="1" applyFont="1" applyFill="1" applyBorder="1" applyAlignment="1">
      <alignment horizontal="left"/>
      <protection/>
    </xf>
    <xf numFmtId="49" fontId="90" fillId="3" borderId="26" xfId="139" applyNumberFormat="1" applyFont="1" applyFill="1" applyBorder="1" applyAlignment="1">
      <alignment horizontal="center" vertical="center"/>
      <protection/>
    </xf>
    <xf numFmtId="49" fontId="90" fillId="3" borderId="25" xfId="139" applyNumberFormat="1" applyFont="1" applyFill="1" applyBorder="1" applyAlignment="1">
      <alignment horizontal="center" vertical="center"/>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4" xfId="139" applyNumberFormat="1" applyFont="1" applyFill="1" applyBorder="1" applyAlignment="1">
      <alignment horizontal="center" vertical="center" wrapText="1"/>
      <protection/>
    </xf>
    <xf numFmtId="0" fontId="82" fillId="0" borderId="45" xfId="139" applyFont="1" applyFill="1" applyBorder="1" applyAlignment="1">
      <alignment horizontal="center" vertical="center" wrapText="1"/>
      <protection/>
    </xf>
    <xf numFmtId="0" fontId="82" fillId="0" borderId="25" xfId="139" applyFont="1" applyFill="1" applyBorder="1" applyAlignment="1">
      <alignment horizontal="center" vertical="center" wrapText="1"/>
      <protection/>
    </xf>
    <xf numFmtId="49" fontId="28" fillId="0" borderId="0" xfId="139" applyNumberFormat="1" applyFont="1" applyAlignment="1">
      <alignment horizontal="center"/>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0" fontId="14" fillId="0" borderId="0" xfId="139" applyNumberFormat="1" applyFont="1" applyAlignment="1">
      <alignment horizontal="center"/>
      <protection/>
    </xf>
    <xf numFmtId="0" fontId="33" fillId="0" borderId="0" xfId="139" applyNumberFormat="1" applyFont="1" applyAlignment="1">
      <alignment horizontal="center"/>
      <protection/>
    </xf>
    <xf numFmtId="0" fontId="23" fillId="0" borderId="0" xfId="139" applyNumberFormat="1" applyFont="1" applyAlignment="1">
      <alignment horizontal="center"/>
      <protection/>
    </xf>
    <xf numFmtId="0" fontId="7" fillId="0" borderId="20" xfId="139" applyFont="1" applyFill="1" applyBorder="1" applyAlignment="1">
      <alignment horizontal="center" vertical="center" wrapText="1"/>
      <protection/>
    </xf>
    <xf numFmtId="0" fontId="18" fillId="0" borderId="0" xfId="139" applyFont="1" applyBorder="1" applyAlignment="1">
      <alignment horizontal="left"/>
      <protection/>
    </xf>
    <xf numFmtId="0" fontId="13" fillId="0" borderId="0" xfId="139" applyFont="1" applyAlignment="1">
      <alignment horizontal="center"/>
      <protection/>
    </xf>
    <xf numFmtId="49" fontId="31" fillId="0" borderId="0" xfId="139" applyNumberFormat="1" applyFont="1" applyBorder="1" applyAlignment="1">
      <alignment horizontal="justify" vertical="justify"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4"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25" fillId="0" borderId="0" xfId="139" applyFont="1" applyAlignment="1">
      <alignment horizontal="center"/>
      <protection/>
    </xf>
    <xf numFmtId="49" fontId="25" fillId="47" borderId="46" xfId="0" applyNumberFormat="1" applyFont="1" applyFill="1" applyBorder="1" applyAlignment="1">
      <alignment horizontal="center" vertical="center"/>
    </xf>
    <xf numFmtId="49" fontId="25" fillId="47" borderId="47"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5"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5"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16" fillId="0" borderId="48"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25" fillId="0" borderId="0" xfId="0" applyNumberFormat="1" applyFont="1" applyFill="1" applyAlignment="1">
      <alignment horizontal="center"/>
    </xf>
    <xf numFmtId="49" fontId="4" fillId="0" borderId="20"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center"/>
    </xf>
    <xf numFmtId="0" fontId="28" fillId="0" borderId="0" xfId="0" applyNumberFormat="1" applyFont="1" applyFill="1" applyAlignment="1">
      <alignment horizontal="left"/>
    </xf>
    <xf numFmtId="0" fontId="28" fillId="0" borderId="0" xfId="0" applyNumberFormat="1" applyFont="1" applyFill="1" applyAlignment="1">
      <alignment horizontal="center" wrapText="1"/>
    </xf>
    <xf numFmtId="0" fontId="28"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3" fillId="0" borderId="0" xfId="0" applyNumberFormat="1" applyFont="1" applyFill="1" applyAlignment="1">
      <alignment horizontal="center"/>
    </xf>
    <xf numFmtId="1" fontId="7" fillId="0" borderId="20" xfId="0" applyNumberFormat="1" applyFont="1" applyFill="1" applyBorder="1" applyAlignment="1">
      <alignment horizontal="center" vertical="center"/>
    </xf>
    <xf numFmtId="0" fontId="6" fillId="0" borderId="0" xfId="0" applyNumberFormat="1" applyFont="1" applyFill="1" applyBorder="1" applyAlignment="1">
      <alignment horizontal="left" wrapText="1"/>
    </xf>
    <xf numFmtId="49" fontId="7"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49" fontId="7" fillId="0" borderId="0" xfId="0" applyNumberFormat="1" applyFont="1" applyFill="1" applyBorder="1" applyAlignment="1">
      <alignment horizontal="left" wrapText="1"/>
    </xf>
    <xf numFmtId="49" fontId="7" fillId="0" borderId="49"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0" fillId="0" borderId="0" xfId="0" applyNumberFormat="1" applyFont="1" applyFill="1" applyAlignment="1">
      <alignment horizontal="left"/>
    </xf>
    <xf numFmtId="0" fontId="7" fillId="0" borderId="50"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49" fontId="7" fillId="0" borderId="49" xfId="0" applyNumberFormat="1" applyFont="1" applyFill="1" applyBorder="1" applyAlignment="1" applyProtection="1">
      <alignment horizontal="center" vertical="center" wrapText="1"/>
      <protection/>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1" fontId="7" fillId="0" borderId="49" xfId="0" applyNumberFormat="1" applyFont="1" applyFill="1" applyBorder="1" applyAlignment="1">
      <alignment horizontal="center" vertical="center"/>
    </xf>
    <xf numFmtId="0" fontId="0" fillId="0" borderId="0" xfId="0" applyNumberFormat="1" applyFont="1" applyFill="1" applyAlignment="1">
      <alignment horizontal="center"/>
    </xf>
    <xf numFmtId="49" fontId="18" fillId="0" borderId="51" xfId="0" applyNumberFormat="1" applyFont="1" applyFill="1" applyBorder="1" applyAlignment="1">
      <alignment horizontal="center"/>
    </xf>
    <xf numFmtId="49" fontId="21" fillId="0" borderId="48"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0" borderId="52" xfId="0" applyNumberFormat="1" applyFont="1" applyFill="1" applyBorder="1" applyAlignment="1" applyProtection="1">
      <alignment horizontal="center" vertical="center" wrapText="1"/>
      <protection/>
    </xf>
    <xf numFmtId="49" fontId="7" fillId="0" borderId="38" xfId="0" applyNumberFormat="1" applyFont="1" applyFill="1" applyBorder="1" applyAlignment="1" applyProtection="1">
      <alignment horizontal="center" vertical="center" wrapText="1"/>
      <protection/>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 (Goc) THONG KE TT01 Toàn tỉnh Hoa Binh 6 tháng 2013_Lâm Hà 9T" xfId="136"/>
    <cellStyle name="Normal_19 bieu m nhapcong thuc da sao 11 don vi " xfId="137"/>
    <cellStyle name="Normal_Bieu 8 - Bieu 19 toan tinh" xfId="138"/>
    <cellStyle name="Normal_Bieu mau TK tu 11 den 19 (ban phat hanh)" xfId="139"/>
    <cellStyle name="Normal_Sheet2" xfId="140"/>
    <cellStyle name="Normal_Sheet7"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externalLink" Target="externalLinks/externalLink15.xml" /><Relationship Id="rId32" Type="http://schemas.openxmlformats.org/officeDocument/2006/relationships/externalLink" Target="externalLinks/externalLink16.xml" /><Relationship Id="rId33" Type="http://schemas.openxmlformats.org/officeDocument/2006/relationships/externalLink" Target="externalLinks/externalLink17.xml" /><Relationship Id="rId34" Type="http://schemas.openxmlformats.org/officeDocument/2006/relationships/externalLink" Target="externalLinks/externalLink18.xml" /><Relationship Id="rId35" Type="http://schemas.openxmlformats.org/officeDocument/2006/relationships/externalLink" Target="externalLinks/externalLink19.xml" /><Relationship Id="rId36" Type="http://schemas.openxmlformats.org/officeDocument/2006/relationships/externalLink" Target="externalLinks/externalLink20.xml" /><Relationship Id="rId37" Type="http://schemas.openxmlformats.org/officeDocument/2006/relationships/externalLink" Target="externalLinks/externalLink21.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72;&#7841;%20T&#7867;h.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72;&#224;%20L&#7841;t.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B&#7843;o%20L&#226;m.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L&#7841;c%20D&#432;&#417;ng.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72;&#7841;%20Huoai.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C&#7909;c.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L&#226;m%20H&#2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B&#7843;o%20L&#7897;c.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C&#225;c%20huy&#234;n\&#272;&#7913;c%20Tr&#7885;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72;&#7913;c%20Tr&#7885;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13">
          <cell r="D13">
            <v>2641393</v>
          </cell>
          <cell r="E13">
            <v>180245</v>
          </cell>
          <cell r="F13">
            <v>0</v>
          </cell>
          <cell r="J13">
            <v>42100</v>
          </cell>
          <cell r="K13">
            <v>0</v>
          </cell>
          <cell r="L13">
            <v>0</v>
          </cell>
          <cell r="R13">
            <v>379568</v>
          </cell>
        </row>
        <row r="14">
          <cell r="D14">
            <v>2300119</v>
          </cell>
          <cell r="E14">
            <v>178607</v>
          </cell>
          <cell r="F14">
            <v>0</v>
          </cell>
          <cell r="J14">
            <v>9713</v>
          </cell>
          <cell r="K14">
            <v>0</v>
          </cell>
          <cell r="L14">
            <v>0</v>
          </cell>
          <cell r="R14">
            <v>1927974</v>
          </cell>
        </row>
        <row r="15">
          <cell r="D15">
            <v>966644</v>
          </cell>
          <cell r="E15">
            <v>89478</v>
          </cell>
          <cell r="F15">
            <v>0</v>
          </cell>
          <cell r="J15">
            <v>0</v>
          </cell>
          <cell r="K15">
            <v>0</v>
          </cell>
          <cell r="L15">
            <v>0</v>
          </cell>
          <cell r="R15">
            <v>143228</v>
          </cell>
        </row>
      </sheetData>
      <sheetData sheetId="17">
        <row r="13">
          <cell r="E13">
            <v>9</v>
          </cell>
          <cell r="F13">
            <v>0</v>
          </cell>
          <cell r="J13">
            <v>3</v>
          </cell>
          <cell r="K13">
            <v>0</v>
          </cell>
          <cell r="M13">
            <v>0</v>
          </cell>
          <cell r="N13">
            <v>0</v>
          </cell>
          <cell r="O13">
            <v>0</v>
          </cell>
          <cell r="P13">
            <v>0</v>
          </cell>
          <cell r="Q13">
            <v>11</v>
          </cell>
        </row>
        <row r="14">
          <cell r="E14">
            <v>19</v>
          </cell>
          <cell r="F14">
            <v>0</v>
          </cell>
          <cell r="J14">
            <v>8</v>
          </cell>
          <cell r="K14">
            <v>0</v>
          </cell>
          <cell r="M14">
            <v>0</v>
          </cell>
          <cell r="N14">
            <v>0</v>
          </cell>
          <cell r="O14">
            <v>0</v>
          </cell>
          <cell r="P14">
            <v>0</v>
          </cell>
          <cell r="Q14">
            <v>13</v>
          </cell>
        </row>
        <row r="15">
          <cell r="E15">
            <v>7</v>
          </cell>
          <cell r="F15">
            <v>0</v>
          </cell>
          <cell r="J15">
            <v>0</v>
          </cell>
          <cell r="K15">
            <v>0</v>
          </cell>
          <cell r="M15">
            <v>0</v>
          </cell>
          <cell r="N15">
            <v>0</v>
          </cell>
          <cell r="O15">
            <v>0</v>
          </cell>
          <cell r="P15">
            <v>0</v>
          </cell>
          <cell r="Q15">
            <v>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ẪU 01.THA"/>
      <sheetName val="PT 01.TH"/>
      <sheetName val="MẪU 02.THA"/>
      <sheetName val="PT 02.TH"/>
      <sheetName val="MẪU 03.THA"/>
      <sheetName val="PT 03.TH"/>
      <sheetName val="MẪU 04.THA"/>
      <sheetName val="PHÂN TÍCH 04.TH"/>
      <sheetName val="MẪU TIỀN T 05."/>
      <sheetName val="việc CHV Mẫu 06"/>
      <sheetName val="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sua  mau an tuyen khong ro 9"/>
    </sheetNames>
    <sheetDataSet>
      <sheetData sheetId="9">
        <row r="13">
          <cell r="E13">
            <v>12</v>
          </cell>
          <cell r="F13">
            <v>0</v>
          </cell>
          <cell r="J13">
            <v>6</v>
          </cell>
          <cell r="K13">
            <v>0</v>
          </cell>
          <cell r="M13">
            <v>0</v>
          </cell>
          <cell r="N13">
            <v>0</v>
          </cell>
          <cell r="O13">
            <v>0</v>
          </cell>
          <cell r="P13">
            <v>0</v>
          </cell>
          <cell r="Q13">
            <v>16</v>
          </cell>
        </row>
        <row r="14">
          <cell r="E14">
            <v>21</v>
          </cell>
          <cell r="F14">
            <v>0</v>
          </cell>
          <cell r="J14">
            <v>17</v>
          </cell>
          <cell r="K14">
            <v>0</v>
          </cell>
          <cell r="M14">
            <v>0</v>
          </cell>
          <cell r="N14">
            <v>0</v>
          </cell>
          <cell r="O14">
            <v>0</v>
          </cell>
          <cell r="P14">
            <v>0</v>
          </cell>
          <cell r="Q14">
            <v>34</v>
          </cell>
        </row>
      </sheetData>
      <sheetData sheetId="10">
        <row r="13">
          <cell r="E13">
            <v>1595378</v>
          </cell>
          <cell r="F13">
            <v>0</v>
          </cell>
          <cell r="J13">
            <v>8174</v>
          </cell>
          <cell r="K13">
            <v>0</v>
          </cell>
          <cell r="L13">
            <v>0</v>
          </cell>
          <cell r="N13">
            <v>0</v>
          </cell>
          <cell r="O13">
            <v>0</v>
          </cell>
          <cell r="P13">
            <v>0</v>
          </cell>
          <cell r="Q13">
            <v>0</v>
          </cell>
          <cell r="R13">
            <v>3983812</v>
          </cell>
        </row>
        <row r="14">
          <cell r="E14">
            <v>927502</v>
          </cell>
          <cell r="F14">
            <v>0</v>
          </cell>
          <cell r="J14">
            <v>15999</v>
          </cell>
          <cell r="K14">
            <v>0</v>
          </cell>
          <cell r="L14">
            <v>0</v>
          </cell>
          <cell r="N14">
            <v>0</v>
          </cell>
          <cell r="O14">
            <v>0</v>
          </cell>
          <cell r="P14">
            <v>0</v>
          </cell>
          <cell r="Q14">
            <v>0</v>
          </cell>
          <cell r="R14">
            <v>1367226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2">
        <row r="12">
          <cell r="O12">
            <v>0</v>
          </cell>
          <cell r="P12">
            <v>0</v>
          </cell>
        </row>
        <row r="13">
          <cell r="E13">
            <v>29</v>
          </cell>
          <cell r="F13">
            <v>0</v>
          </cell>
          <cell r="J13">
            <v>19</v>
          </cell>
          <cell r="K13">
            <v>0</v>
          </cell>
          <cell r="M13">
            <v>0</v>
          </cell>
          <cell r="Q13">
            <v>21</v>
          </cell>
        </row>
        <row r="14">
          <cell r="E14">
            <v>28</v>
          </cell>
          <cell r="F14">
            <v>0</v>
          </cell>
          <cell r="J14">
            <v>14</v>
          </cell>
          <cell r="K14">
            <v>1</v>
          </cell>
          <cell r="M14">
            <v>3</v>
          </cell>
          <cell r="N14">
            <v>0</v>
          </cell>
          <cell r="O14">
            <v>0</v>
          </cell>
          <cell r="P14">
            <v>0</v>
          </cell>
          <cell r="Q14">
            <v>47</v>
          </cell>
        </row>
        <row r="15">
          <cell r="E15">
            <v>9</v>
          </cell>
          <cell r="F15">
            <v>0</v>
          </cell>
          <cell r="J15">
            <v>9</v>
          </cell>
          <cell r="K15">
            <v>0</v>
          </cell>
          <cell r="M15">
            <v>0</v>
          </cell>
          <cell r="N15">
            <v>0</v>
          </cell>
          <cell r="O15">
            <v>0</v>
          </cell>
          <cell r="P15">
            <v>0</v>
          </cell>
          <cell r="Q15">
            <v>21</v>
          </cell>
        </row>
      </sheetData>
      <sheetData sheetId="13">
        <row r="12">
          <cell r="P12">
            <v>0</v>
          </cell>
        </row>
        <row r="13">
          <cell r="E13">
            <v>1050167</v>
          </cell>
          <cell r="F13">
            <v>0</v>
          </cell>
          <cell r="J13">
            <v>56276</v>
          </cell>
          <cell r="K13">
            <v>2000</v>
          </cell>
          <cell r="N13">
            <v>0</v>
          </cell>
          <cell r="R13">
            <v>722189</v>
          </cell>
        </row>
        <row r="14">
          <cell r="E14">
            <v>1659216</v>
          </cell>
          <cell r="F14">
            <v>0</v>
          </cell>
          <cell r="J14">
            <v>13622</v>
          </cell>
          <cell r="K14">
            <v>24000</v>
          </cell>
          <cell r="L14">
            <v>0</v>
          </cell>
          <cell r="N14">
            <v>602162</v>
          </cell>
          <cell r="O14">
            <v>0</v>
          </cell>
          <cell r="Q14">
            <v>0</v>
          </cell>
          <cell r="R14">
            <v>19065645</v>
          </cell>
        </row>
        <row r="15">
          <cell r="E15">
            <v>34900</v>
          </cell>
          <cell r="F15">
            <v>0</v>
          </cell>
          <cell r="J15">
            <v>28300</v>
          </cell>
          <cell r="K15">
            <v>0</v>
          </cell>
          <cell r="L15">
            <v>0</v>
          </cell>
          <cell r="N15">
            <v>0</v>
          </cell>
          <cell r="O15">
            <v>0</v>
          </cell>
          <cell r="P15">
            <v>0</v>
          </cell>
          <cell r="Q15">
            <v>0</v>
          </cell>
          <cell r="R15">
            <v>681044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17424799</v>
          </cell>
          <cell r="F14">
            <v>0</v>
          </cell>
          <cell r="J14">
            <v>1812822</v>
          </cell>
          <cell r="K14">
            <v>0</v>
          </cell>
          <cell r="N14">
            <v>0</v>
          </cell>
          <cell r="R14">
            <v>1785243</v>
          </cell>
        </row>
        <row r="15">
          <cell r="E15">
            <v>450390</v>
          </cell>
          <cell r="F15">
            <v>200</v>
          </cell>
          <cell r="J15">
            <v>35935</v>
          </cell>
          <cell r="K15">
            <v>14002387</v>
          </cell>
          <cell r="N15">
            <v>229833</v>
          </cell>
          <cell r="O15">
            <v>140351</v>
          </cell>
          <cell r="Q15">
            <v>0</v>
          </cell>
          <cell r="R15">
            <v>9750889</v>
          </cell>
        </row>
        <row r="16">
          <cell r="E16">
            <v>3287423</v>
          </cell>
          <cell r="F16">
            <v>0</v>
          </cell>
          <cell r="J16">
            <v>1205266</v>
          </cell>
          <cell r="K16">
            <v>0</v>
          </cell>
          <cell r="N16">
            <v>0</v>
          </cell>
          <cell r="Q16">
            <v>1951814</v>
          </cell>
          <cell r="R16">
            <v>87538766</v>
          </cell>
        </row>
        <row r="17">
          <cell r="E17">
            <v>7901</v>
          </cell>
          <cell r="F17">
            <v>806160</v>
          </cell>
          <cell r="J17">
            <v>18000</v>
          </cell>
          <cell r="K17">
            <v>0</v>
          </cell>
          <cell r="L17">
            <v>3723</v>
          </cell>
          <cell r="N17">
            <v>0</v>
          </cell>
          <cell r="Q17">
            <v>0</v>
          </cell>
          <cell r="R17">
            <v>5441918</v>
          </cell>
        </row>
        <row r="18">
          <cell r="E18">
            <v>7058</v>
          </cell>
          <cell r="F18">
            <v>0</v>
          </cell>
          <cell r="J18">
            <v>34155</v>
          </cell>
          <cell r="K18">
            <v>3144</v>
          </cell>
          <cell r="P18">
            <v>0</v>
          </cell>
          <cell r="Q18">
            <v>0</v>
          </cell>
          <cell r="R18">
            <v>2453451</v>
          </cell>
        </row>
        <row r="19">
          <cell r="E19">
            <v>243939</v>
          </cell>
          <cell r="F19">
            <v>0</v>
          </cell>
          <cell r="J19">
            <v>554656</v>
          </cell>
          <cell r="K19">
            <v>14166</v>
          </cell>
          <cell r="L19">
            <v>0</v>
          </cell>
          <cell r="N19">
            <v>2585981</v>
          </cell>
          <cell r="O19">
            <v>135351</v>
          </cell>
          <cell r="Q19">
            <v>115184</v>
          </cell>
          <cell r="R19">
            <v>123807284</v>
          </cell>
        </row>
        <row r="20">
          <cell r="E20">
            <v>366181</v>
          </cell>
          <cell r="F20">
            <v>0</v>
          </cell>
          <cell r="J20">
            <v>220779</v>
          </cell>
          <cell r="K20">
            <v>15187</v>
          </cell>
          <cell r="L20">
            <v>0</v>
          </cell>
          <cell r="N20">
            <v>3589043</v>
          </cell>
          <cell r="O20">
            <v>0</v>
          </cell>
          <cell r="P20">
            <v>0</v>
          </cell>
          <cell r="Q20">
            <v>0</v>
          </cell>
          <cell r="R20">
            <v>15412869</v>
          </cell>
        </row>
        <row r="21">
          <cell r="E21">
            <v>6755173</v>
          </cell>
          <cell r="F21">
            <v>0</v>
          </cell>
          <cell r="J21">
            <v>157505</v>
          </cell>
          <cell r="K21">
            <v>0</v>
          </cell>
          <cell r="L21">
            <v>0</v>
          </cell>
          <cell r="N21">
            <v>0</v>
          </cell>
          <cell r="O21">
            <v>604499</v>
          </cell>
          <cell r="Q21">
            <v>0</v>
          </cell>
          <cell r="R21">
            <v>5928363</v>
          </cell>
        </row>
        <row r="22">
          <cell r="E22">
            <v>15727</v>
          </cell>
          <cell r="F22">
            <v>0</v>
          </cell>
          <cell r="J22">
            <v>1216472</v>
          </cell>
          <cell r="K22">
            <v>460270</v>
          </cell>
          <cell r="L22">
            <v>0</v>
          </cell>
          <cell r="N22">
            <v>4919347</v>
          </cell>
          <cell r="O22">
            <v>2972343</v>
          </cell>
          <cell r="P22">
            <v>0</v>
          </cell>
          <cell r="Q22">
            <v>0</v>
          </cell>
          <cell r="R22">
            <v>29757863</v>
          </cell>
        </row>
      </sheetData>
      <sheetData sheetId="14">
        <row r="14">
          <cell r="E14">
            <v>1</v>
          </cell>
          <cell r="F14">
            <v>0</v>
          </cell>
          <cell r="J14">
            <v>1</v>
          </cell>
          <cell r="K14">
            <v>0</v>
          </cell>
          <cell r="M14">
            <v>0</v>
          </cell>
          <cell r="N14" t="str">
            <v>0</v>
          </cell>
          <cell r="O14" t="str">
            <v>0</v>
          </cell>
          <cell r="P14" t="str">
            <v>0</v>
          </cell>
          <cell r="Q14">
            <v>9</v>
          </cell>
        </row>
        <row r="15">
          <cell r="E15">
            <v>9</v>
          </cell>
          <cell r="F15">
            <v>1</v>
          </cell>
          <cell r="J15">
            <v>2</v>
          </cell>
          <cell r="K15">
            <v>6</v>
          </cell>
          <cell r="M15">
            <v>3</v>
          </cell>
          <cell r="N15">
            <v>2</v>
          </cell>
          <cell r="O15">
            <v>0</v>
          </cell>
          <cell r="P15">
            <v>0</v>
          </cell>
          <cell r="Q15">
            <v>65</v>
          </cell>
        </row>
        <row r="16">
          <cell r="E16">
            <v>13</v>
          </cell>
          <cell r="F16">
            <v>0</v>
          </cell>
          <cell r="J16">
            <v>0</v>
          </cell>
          <cell r="K16">
            <v>0</v>
          </cell>
          <cell r="M16">
            <v>0</v>
          </cell>
          <cell r="P16">
            <v>6</v>
          </cell>
          <cell r="Q16">
            <v>99</v>
          </cell>
        </row>
        <row r="17">
          <cell r="E17">
            <v>11</v>
          </cell>
          <cell r="F17">
            <v>2</v>
          </cell>
          <cell r="J17">
            <v>0</v>
          </cell>
          <cell r="K17">
            <v>0</v>
          </cell>
          <cell r="M17">
            <v>0</v>
          </cell>
          <cell r="N17">
            <v>0</v>
          </cell>
          <cell r="O17">
            <v>0</v>
          </cell>
          <cell r="P17">
            <v>0</v>
          </cell>
          <cell r="Q17">
            <v>58</v>
          </cell>
        </row>
        <row r="18">
          <cell r="E18">
            <v>10</v>
          </cell>
          <cell r="F18">
            <v>0</v>
          </cell>
          <cell r="J18">
            <v>11</v>
          </cell>
          <cell r="K18">
            <v>0</v>
          </cell>
          <cell r="M18">
            <v>0</v>
          </cell>
          <cell r="N18">
            <v>0</v>
          </cell>
          <cell r="O18">
            <v>0</v>
          </cell>
          <cell r="P18">
            <v>0</v>
          </cell>
          <cell r="Q18">
            <v>52</v>
          </cell>
        </row>
        <row r="19">
          <cell r="E19">
            <v>11</v>
          </cell>
          <cell r="F19">
            <v>0</v>
          </cell>
          <cell r="J19">
            <v>0</v>
          </cell>
          <cell r="K19">
            <v>0</v>
          </cell>
          <cell r="M19">
            <v>2</v>
          </cell>
          <cell r="N19">
            <v>2</v>
          </cell>
          <cell r="P19">
            <v>11</v>
          </cell>
          <cell r="Q19">
            <v>130</v>
          </cell>
        </row>
        <row r="20">
          <cell r="E20">
            <v>13</v>
          </cell>
          <cell r="F20">
            <v>0</v>
          </cell>
          <cell r="J20">
            <v>12</v>
          </cell>
          <cell r="K20">
            <v>0</v>
          </cell>
          <cell r="M20">
            <v>3</v>
          </cell>
          <cell r="N20">
            <v>0</v>
          </cell>
          <cell r="P20">
            <v>0</v>
          </cell>
          <cell r="Q20">
            <v>80</v>
          </cell>
        </row>
        <row r="21">
          <cell r="E21">
            <v>22</v>
          </cell>
          <cell r="F21">
            <v>0</v>
          </cell>
          <cell r="J21">
            <v>0</v>
          </cell>
          <cell r="K21">
            <v>0</v>
          </cell>
          <cell r="M21">
            <v>0</v>
          </cell>
          <cell r="N21">
            <v>3</v>
          </cell>
          <cell r="P21">
            <v>0</v>
          </cell>
          <cell r="Q21">
            <v>65</v>
          </cell>
        </row>
        <row r="22">
          <cell r="E22">
            <v>15</v>
          </cell>
          <cell r="F22">
            <v>0</v>
          </cell>
          <cell r="J22">
            <v>7</v>
          </cell>
          <cell r="K22">
            <v>1</v>
          </cell>
          <cell r="M22">
            <v>4</v>
          </cell>
          <cell r="N22">
            <v>1</v>
          </cell>
          <cell r="O22">
            <v>0</v>
          </cell>
          <cell r="P22">
            <v>0</v>
          </cell>
          <cell r="Q22">
            <v>35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a  mau an tuyen khong ro 9"/>
      <sheetName val="to cao 12"/>
      <sheetName val="khieu nai 11"/>
      <sheetName val="Mẫu BC tiền theo CHV Mẫu 07"/>
      <sheetName val="Mẫu BC việc theo CHV Mẫu 06"/>
    </sheetNames>
    <sheetDataSet>
      <sheetData sheetId="3">
        <row r="14">
          <cell r="E14">
            <v>31517</v>
          </cell>
          <cell r="F14">
            <v>200</v>
          </cell>
          <cell r="J14">
            <v>28558</v>
          </cell>
          <cell r="K14">
            <v>0</v>
          </cell>
          <cell r="L14">
            <v>0</v>
          </cell>
          <cell r="N14">
            <v>0</v>
          </cell>
          <cell r="O14">
            <v>0</v>
          </cell>
          <cell r="P14">
            <v>0</v>
          </cell>
          <cell r="Q14">
            <v>0</v>
          </cell>
          <cell r="R14">
            <v>0</v>
          </cell>
        </row>
        <row r="15">
          <cell r="E15">
            <v>782077</v>
          </cell>
          <cell r="F15">
            <v>0</v>
          </cell>
          <cell r="J15">
            <v>54005</v>
          </cell>
          <cell r="K15">
            <v>234030</v>
          </cell>
          <cell r="L15">
            <v>0</v>
          </cell>
          <cell r="N15">
            <v>0</v>
          </cell>
          <cell r="O15">
            <v>67951</v>
          </cell>
          <cell r="P15">
            <v>0</v>
          </cell>
          <cell r="Q15">
            <v>0</v>
          </cell>
          <cell r="R15">
            <v>2158084</v>
          </cell>
        </row>
        <row r="16">
          <cell r="E16">
            <v>1767153</v>
          </cell>
          <cell r="F16">
            <v>0</v>
          </cell>
          <cell r="J16">
            <v>323864</v>
          </cell>
          <cell r="K16">
            <v>0</v>
          </cell>
          <cell r="L16">
            <v>0</v>
          </cell>
          <cell r="N16">
            <v>0</v>
          </cell>
          <cell r="O16">
            <v>0</v>
          </cell>
          <cell r="P16">
            <v>0</v>
          </cell>
          <cell r="Q16">
            <v>0</v>
          </cell>
          <cell r="R16">
            <v>7797100</v>
          </cell>
        </row>
        <row r="17">
          <cell r="E17">
            <v>1045331</v>
          </cell>
          <cell r="F17">
            <v>0</v>
          </cell>
          <cell r="J17">
            <v>138589</v>
          </cell>
          <cell r="K17">
            <v>5000</v>
          </cell>
          <cell r="L17">
            <v>0</v>
          </cell>
          <cell r="N17">
            <v>223014</v>
          </cell>
          <cell r="O17">
            <v>0</v>
          </cell>
          <cell r="P17">
            <v>0</v>
          </cell>
          <cell r="Q17">
            <v>0</v>
          </cell>
          <cell r="R17">
            <v>28602951</v>
          </cell>
        </row>
      </sheetData>
      <sheetData sheetId="4">
        <row r="14">
          <cell r="E14">
            <v>12</v>
          </cell>
          <cell r="F14">
            <v>0</v>
          </cell>
          <cell r="J14">
            <v>6</v>
          </cell>
          <cell r="K14">
            <v>0</v>
          </cell>
          <cell r="M14">
            <v>0</v>
          </cell>
          <cell r="N14">
            <v>0</v>
          </cell>
          <cell r="O14">
            <v>0</v>
          </cell>
          <cell r="P14">
            <v>0</v>
          </cell>
          <cell r="Q14">
            <v>0</v>
          </cell>
        </row>
        <row r="15">
          <cell r="E15">
            <v>18</v>
          </cell>
          <cell r="F15">
            <v>0</v>
          </cell>
          <cell r="J15">
            <v>5</v>
          </cell>
          <cell r="K15">
            <v>0</v>
          </cell>
          <cell r="M15">
            <v>0</v>
          </cell>
          <cell r="N15">
            <v>2</v>
          </cell>
          <cell r="O15">
            <v>0</v>
          </cell>
          <cell r="P15">
            <v>0</v>
          </cell>
          <cell r="Q15">
            <v>38</v>
          </cell>
        </row>
        <row r="16">
          <cell r="E16">
            <v>40</v>
          </cell>
          <cell r="F16">
            <v>0</v>
          </cell>
          <cell r="J16">
            <v>12</v>
          </cell>
          <cell r="K16">
            <v>0</v>
          </cell>
          <cell r="M16">
            <v>0</v>
          </cell>
          <cell r="N16">
            <v>0</v>
          </cell>
          <cell r="O16">
            <v>0</v>
          </cell>
          <cell r="P16">
            <v>0</v>
          </cell>
          <cell r="Q16">
            <v>48</v>
          </cell>
        </row>
        <row r="17">
          <cell r="E17">
            <v>46</v>
          </cell>
          <cell r="F17">
            <v>0</v>
          </cell>
          <cell r="J17">
            <v>6</v>
          </cell>
          <cell r="K17">
            <v>0</v>
          </cell>
          <cell r="M17">
            <v>3</v>
          </cell>
          <cell r="N17">
            <v>0</v>
          </cell>
          <cell r="O17">
            <v>0</v>
          </cell>
          <cell r="P17">
            <v>0</v>
          </cell>
          <cell r="Q17">
            <v>84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9"/>
      <sheetName val="18"/>
      <sheetName val="17"/>
      <sheetName val="16"/>
      <sheetName val="15"/>
      <sheetName val="12"/>
      <sheetName val="11"/>
      <sheetName val="10"/>
      <sheetName val="09"/>
      <sheetName val="08"/>
      <sheetName val="BM 07"/>
      <sheetName val="BM 06"/>
      <sheetName val="BM 05"/>
      <sheetName val="PT 04"/>
      <sheetName val="BM04"/>
      <sheetName val="PT 03"/>
      <sheetName val="BM 03"/>
      <sheetName val="PT 02"/>
      <sheetName val="BM 02"/>
      <sheetName val="PT 01"/>
      <sheetName val="BM 01"/>
      <sheetName val="khai báo"/>
      <sheetName val="Thống kê"/>
      <sheetName val="Bảng tổng hợp"/>
      <sheetName val="Dân Sự"/>
      <sheetName val="Hình sự"/>
      <sheetName val="Ma túy"/>
      <sheetName val="Hành Chính"/>
      <sheetName val="Hôn Nhân"/>
      <sheetName val="KDTM"/>
      <sheetName val="Lao Động"/>
      <sheetName val="Phá Sản"/>
      <sheetName val="Trọng Tài"/>
      <sheetName val="Cạnh Tranh"/>
      <sheetName val="Khác"/>
      <sheetName val="sua  mau an tuyen khong ro 9"/>
      <sheetName val="TH 03,04"/>
      <sheetName val="TH 01, 02"/>
    </sheetNames>
    <sheetDataSet>
      <sheetData sheetId="10">
        <row r="14">
          <cell r="E14">
            <v>50899</v>
          </cell>
          <cell r="F14">
            <v>0</v>
          </cell>
          <cell r="J14">
            <v>1000</v>
          </cell>
          <cell r="K14">
            <v>0</v>
          </cell>
          <cell r="N14">
            <v>0</v>
          </cell>
          <cell r="O14">
            <v>0</v>
          </cell>
          <cell r="P14">
            <v>0</v>
          </cell>
          <cell r="Q14">
            <v>0</v>
          </cell>
          <cell r="R14">
            <v>738077</v>
          </cell>
        </row>
      </sheetData>
      <sheetData sheetId="11">
        <row r="14">
          <cell r="E14">
            <v>7</v>
          </cell>
          <cell r="F14">
            <v>0</v>
          </cell>
          <cell r="J14">
            <v>0</v>
          </cell>
          <cell r="K14">
            <v>0</v>
          </cell>
          <cell r="M14">
            <v>0</v>
          </cell>
          <cell r="N14">
            <v>0</v>
          </cell>
          <cell r="O14">
            <v>0</v>
          </cell>
          <cell r="P14">
            <v>0</v>
          </cell>
          <cell r="Q14">
            <v>16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5">
          <cell r="E15">
            <v>47474</v>
          </cell>
          <cell r="F15">
            <v>0</v>
          </cell>
          <cell r="J15">
            <v>3500</v>
          </cell>
          <cell r="K15">
            <v>0</v>
          </cell>
          <cell r="L15">
            <v>0</v>
          </cell>
          <cell r="N15">
            <v>0</v>
          </cell>
          <cell r="O15">
            <v>0</v>
          </cell>
          <cell r="P15">
            <v>0</v>
          </cell>
          <cell r="Q15">
            <v>13150</v>
          </cell>
          <cell r="R15">
            <v>45400</v>
          </cell>
        </row>
        <row r="16">
          <cell r="E16">
            <v>1054215</v>
          </cell>
          <cell r="F16">
            <v>0</v>
          </cell>
          <cell r="J16">
            <v>21257</v>
          </cell>
          <cell r="K16">
            <v>0</v>
          </cell>
          <cell r="L16">
            <v>0</v>
          </cell>
          <cell r="N16">
            <v>0</v>
          </cell>
          <cell r="O16">
            <v>0</v>
          </cell>
          <cell r="P16">
            <v>0</v>
          </cell>
          <cell r="Q16">
            <v>0</v>
          </cell>
          <cell r="R16">
            <v>2480233</v>
          </cell>
        </row>
        <row r="17">
          <cell r="E17">
            <v>15300</v>
          </cell>
          <cell r="F17" t="str">
            <v>0</v>
          </cell>
          <cell r="J17">
            <v>5300</v>
          </cell>
          <cell r="K17" t="str">
            <v>0</v>
          </cell>
          <cell r="L17" t="str">
            <v>0</v>
          </cell>
          <cell r="O17" t="str">
            <v>0</v>
          </cell>
          <cell r="P17" t="str">
            <v>0</v>
          </cell>
          <cell r="Q17" t="str">
            <v>0</v>
          </cell>
          <cell r="R17">
            <v>21107455</v>
          </cell>
        </row>
      </sheetData>
      <sheetData sheetId="14">
        <row r="15">
          <cell r="E15">
            <v>27</v>
          </cell>
          <cell r="F15">
            <v>0</v>
          </cell>
          <cell r="J15">
            <v>1</v>
          </cell>
          <cell r="K15">
            <v>0</v>
          </cell>
          <cell r="M15">
            <v>0</v>
          </cell>
          <cell r="N15">
            <v>0</v>
          </cell>
          <cell r="O15">
            <v>0</v>
          </cell>
          <cell r="P15">
            <v>1</v>
          </cell>
          <cell r="Q15">
            <v>2</v>
          </cell>
        </row>
        <row r="16">
          <cell r="E16" t="str">
            <v>3</v>
          </cell>
          <cell r="F16" t="str">
            <v>0</v>
          </cell>
          <cell r="J16" t="str">
            <v>2</v>
          </cell>
          <cell r="K16" t="str">
            <v>0</v>
          </cell>
          <cell r="M16" t="str">
            <v>0</v>
          </cell>
          <cell r="N16" t="str">
            <v>0</v>
          </cell>
          <cell r="O16" t="str">
            <v>0</v>
          </cell>
          <cell r="P16" t="str">
            <v>0</v>
          </cell>
          <cell r="Q16" t="str">
            <v>34</v>
          </cell>
        </row>
        <row r="17">
          <cell r="E17" t="str">
            <v>31</v>
          </cell>
          <cell r="F17" t="str">
            <v>0</v>
          </cell>
          <cell r="J17" t="str">
            <v>12</v>
          </cell>
          <cell r="K17" t="str">
            <v>0</v>
          </cell>
          <cell r="M17" t="str">
            <v>0</v>
          </cell>
          <cell r="N17" t="str">
            <v>0</v>
          </cell>
          <cell r="O17" t="str">
            <v>0</v>
          </cell>
          <cell r="P17" t="str">
            <v>0</v>
          </cell>
          <cell r="Q17" t="str">
            <v>40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8541000</v>
          </cell>
          <cell r="F14">
            <v>0</v>
          </cell>
          <cell r="J14">
            <v>18200</v>
          </cell>
          <cell r="K14">
            <v>0</v>
          </cell>
          <cell r="L14">
            <v>0</v>
          </cell>
          <cell r="O14">
            <v>0</v>
          </cell>
          <cell r="P14">
            <v>0</v>
          </cell>
          <cell r="Q14">
            <v>0</v>
          </cell>
          <cell r="R14">
            <v>12242615</v>
          </cell>
        </row>
        <row r="15">
          <cell r="E15">
            <v>435314</v>
          </cell>
          <cell r="F15">
            <v>0</v>
          </cell>
          <cell r="J15">
            <v>71990</v>
          </cell>
          <cell r="K15">
            <v>316847</v>
          </cell>
          <cell r="L15">
            <v>0</v>
          </cell>
          <cell r="N15">
            <v>0</v>
          </cell>
          <cell r="O15">
            <v>0</v>
          </cell>
          <cell r="P15">
            <v>0</v>
          </cell>
          <cell r="Q15">
            <v>0</v>
          </cell>
          <cell r="R15">
            <v>5348885</v>
          </cell>
        </row>
        <row r="16">
          <cell r="E16">
            <v>2649522</v>
          </cell>
          <cell r="F16">
            <v>0</v>
          </cell>
          <cell r="J16">
            <v>693533</v>
          </cell>
          <cell r="K16">
            <v>0</v>
          </cell>
          <cell r="L16">
            <v>0</v>
          </cell>
          <cell r="N16">
            <v>0</v>
          </cell>
          <cell r="O16">
            <v>0</v>
          </cell>
          <cell r="P16">
            <v>0</v>
          </cell>
          <cell r="Q16">
            <v>0</v>
          </cell>
          <cell r="R16">
            <v>3865169</v>
          </cell>
        </row>
        <row r="17">
          <cell r="E17">
            <v>420406</v>
          </cell>
          <cell r="F17">
            <v>0</v>
          </cell>
          <cell r="J17">
            <v>166025</v>
          </cell>
          <cell r="K17">
            <v>0</v>
          </cell>
          <cell r="L17" t="str">
            <v>0</v>
          </cell>
          <cell r="N17">
            <v>0</v>
          </cell>
          <cell r="O17">
            <v>0</v>
          </cell>
          <cell r="P17" t="str">
            <v>0</v>
          </cell>
          <cell r="Q17" t="str">
            <v>0</v>
          </cell>
          <cell r="R17">
            <v>4783450</v>
          </cell>
        </row>
      </sheetData>
      <sheetData sheetId="14">
        <row r="14">
          <cell r="E14">
            <v>4</v>
          </cell>
          <cell r="F14">
            <v>0</v>
          </cell>
          <cell r="J14">
            <v>1</v>
          </cell>
          <cell r="K14">
            <v>0</v>
          </cell>
          <cell r="M14" t="str">
            <v>0</v>
          </cell>
          <cell r="N14" t="str">
            <v>0</v>
          </cell>
          <cell r="O14" t="str">
            <v>0</v>
          </cell>
          <cell r="P14" t="str">
            <v>0</v>
          </cell>
          <cell r="Q14" t="str">
            <v>17</v>
          </cell>
        </row>
        <row r="15">
          <cell r="E15">
            <v>19</v>
          </cell>
          <cell r="F15">
            <v>0</v>
          </cell>
          <cell r="J15">
            <v>11</v>
          </cell>
          <cell r="K15">
            <v>1</v>
          </cell>
          <cell r="M15">
            <v>0</v>
          </cell>
          <cell r="N15">
            <v>0</v>
          </cell>
          <cell r="O15">
            <v>0</v>
          </cell>
          <cell r="P15">
            <v>0</v>
          </cell>
          <cell r="Q15">
            <v>65</v>
          </cell>
        </row>
        <row r="16">
          <cell r="E16">
            <v>32</v>
          </cell>
          <cell r="F16">
            <v>0</v>
          </cell>
          <cell r="J16">
            <v>20</v>
          </cell>
          <cell r="K16">
            <v>0</v>
          </cell>
          <cell r="M16" t="str">
            <v>0</v>
          </cell>
          <cell r="N16" t="str">
            <v>0</v>
          </cell>
          <cell r="O16" t="str">
            <v>0</v>
          </cell>
          <cell r="P16" t="str">
            <v>0</v>
          </cell>
          <cell r="Q16" t="str">
            <v>33</v>
          </cell>
        </row>
        <row r="17">
          <cell r="E17" t="str">
            <v>26</v>
          </cell>
          <cell r="F17" t="str">
            <v>0</v>
          </cell>
          <cell r="J17" t="str">
            <v>11</v>
          </cell>
          <cell r="K17" t="str">
            <v>0</v>
          </cell>
          <cell r="M17" t="str">
            <v>0</v>
          </cell>
          <cell r="N17" t="str">
            <v>0</v>
          </cell>
          <cell r="O17" t="str">
            <v>0</v>
          </cell>
          <cell r="P17" t="str">
            <v>0</v>
          </cell>
          <cell r="Q17" t="str">
            <v>54</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 val="Sheet1"/>
    </sheetNames>
    <sheetDataSet>
      <sheetData sheetId="12">
        <row r="14">
          <cell r="E14">
            <v>3</v>
          </cell>
          <cell r="J14">
            <v>0</v>
          </cell>
          <cell r="K14">
            <v>0</v>
          </cell>
        </row>
        <row r="15">
          <cell r="E15">
            <v>5</v>
          </cell>
          <cell r="F15">
            <v>0</v>
          </cell>
          <cell r="J15">
            <v>3</v>
          </cell>
          <cell r="K15">
            <v>0</v>
          </cell>
          <cell r="Q15">
            <v>6</v>
          </cell>
        </row>
        <row r="16">
          <cell r="E16">
            <v>3</v>
          </cell>
          <cell r="J16">
            <v>1</v>
          </cell>
          <cell r="Q16">
            <v>7</v>
          </cell>
        </row>
        <row r="17">
          <cell r="E17">
            <v>1</v>
          </cell>
          <cell r="J17">
            <v>0</v>
          </cell>
          <cell r="K17">
            <v>0</v>
          </cell>
          <cell r="Q17">
            <v>1</v>
          </cell>
        </row>
        <row r="18">
          <cell r="E18">
            <v>1</v>
          </cell>
          <cell r="J18">
            <v>0</v>
          </cell>
          <cell r="Q18">
            <v>0</v>
          </cell>
        </row>
        <row r="19">
          <cell r="E19">
            <v>11</v>
          </cell>
          <cell r="J19">
            <v>9</v>
          </cell>
          <cell r="P19">
            <v>0</v>
          </cell>
          <cell r="Q19">
            <v>13</v>
          </cell>
        </row>
        <row r="20">
          <cell r="E20">
            <v>7</v>
          </cell>
          <cell r="J20">
            <v>0</v>
          </cell>
          <cell r="K20">
            <v>0</v>
          </cell>
          <cell r="Q20">
            <v>5</v>
          </cell>
        </row>
        <row r="21">
          <cell r="E21">
            <v>1</v>
          </cell>
          <cell r="F21">
            <v>0</v>
          </cell>
          <cell r="Q21">
            <v>2</v>
          </cell>
        </row>
        <row r="22">
          <cell r="E22">
            <v>2</v>
          </cell>
          <cell r="J22">
            <v>0</v>
          </cell>
          <cell r="Q22">
            <v>2</v>
          </cell>
        </row>
        <row r="23">
          <cell r="E23">
            <v>0</v>
          </cell>
          <cell r="J23">
            <v>1</v>
          </cell>
          <cell r="Q23">
            <v>0</v>
          </cell>
        </row>
        <row r="24">
          <cell r="E24">
            <v>3</v>
          </cell>
          <cell r="J24">
            <v>1</v>
          </cell>
          <cell r="K24">
            <v>0</v>
          </cell>
          <cell r="M24">
            <v>0</v>
          </cell>
          <cell r="Q24">
            <v>2</v>
          </cell>
        </row>
        <row r="25">
          <cell r="E25">
            <v>1</v>
          </cell>
          <cell r="J25">
            <v>0</v>
          </cell>
          <cell r="K25">
            <v>0</v>
          </cell>
          <cell r="M25">
            <v>0</v>
          </cell>
          <cell r="P25">
            <v>2</v>
          </cell>
          <cell r="Q25">
            <v>4</v>
          </cell>
        </row>
        <row r="26">
          <cell r="E26">
            <v>0</v>
          </cell>
          <cell r="J26">
            <v>0</v>
          </cell>
          <cell r="Q26">
            <v>4</v>
          </cell>
        </row>
      </sheetData>
      <sheetData sheetId="13">
        <row r="13">
          <cell r="E13">
            <v>800</v>
          </cell>
          <cell r="J13">
            <v>0</v>
          </cell>
          <cell r="K13">
            <v>0</v>
          </cell>
        </row>
        <row r="14">
          <cell r="E14">
            <v>14584</v>
          </cell>
          <cell r="J14">
            <v>600</v>
          </cell>
          <cell r="R14">
            <v>173670</v>
          </cell>
        </row>
        <row r="15">
          <cell r="E15">
            <v>116359</v>
          </cell>
          <cell r="F15">
            <v>0</v>
          </cell>
          <cell r="J15">
            <v>0</v>
          </cell>
          <cell r="K15">
            <v>0</v>
          </cell>
          <cell r="R15">
            <v>34507214</v>
          </cell>
        </row>
        <row r="16">
          <cell r="E16">
            <v>13000</v>
          </cell>
          <cell r="F16">
            <v>0</v>
          </cell>
          <cell r="J16">
            <v>0</v>
          </cell>
          <cell r="K16">
            <v>0</v>
          </cell>
          <cell r="R16">
            <v>152223</v>
          </cell>
        </row>
        <row r="17">
          <cell r="E17">
            <v>400</v>
          </cell>
          <cell r="J17">
            <v>200</v>
          </cell>
          <cell r="O17">
            <v>0</v>
          </cell>
        </row>
        <row r="18">
          <cell r="E18">
            <v>56354</v>
          </cell>
          <cell r="J18">
            <v>56354</v>
          </cell>
          <cell r="R18">
            <v>38810255</v>
          </cell>
        </row>
        <row r="19">
          <cell r="E19">
            <v>47350</v>
          </cell>
          <cell r="F19">
            <v>0</v>
          </cell>
          <cell r="J19">
            <v>0</v>
          </cell>
          <cell r="K19">
            <v>0</v>
          </cell>
          <cell r="R19">
            <v>1168986</v>
          </cell>
        </row>
        <row r="20">
          <cell r="E20">
            <v>115740</v>
          </cell>
          <cell r="F20">
            <v>0</v>
          </cell>
          <cell r="R20">
            <v>620337</v>
          </cell>
        </row>
        <row r="21">
          <cell r="E21">
            <v>266976</v>
          </cell>
          <cell r="J21">
            <v>0</v>
          </cell>
          <cell r="R21">
            <v>6909658</v>
          </cell>
        </row>
        <row r="22">
          <cell r="E22">
            <v>0</v>
          </cell>
          <cell r="J22">
            <v>0</v>
          </cell>
          <cell r="R22">
            <v>0</v>
          </cell>
        </row>
        <row r="23">
          <cell r="E23">
            <v>630427</v>
          </cell>
          <cell r="F23">
            <v>0</v>
          </cell>
          <cell r="J23">
            <v>609827</v>
          </cell>
          <cell r="K23">
            <v>0</v>
          </cell>
          <cell r="N23">
            <v>0</v>
          </cell>
          <cell r="R23">
            <v>691273</v>
          </cell>
        </row>
        <row r="24">
          <cell r="E24">
            <v>66138</v>
          </cell>
          <cell r="F24">
            <v>0</v>
          </cell>
          <cell r="J24">
            <v>10000</v>
          </cell>
          <cell r="K24">
            <v>0</v>
          </cell>
          <cell r="N24">
            <v>0</v>
          </cell>
          <cell r="O24">
            <v>0</v>
          </cell>
          <cell r="P24">
            <v>0</v>
          </cell>
          <cell r="Q24">
            <v>61662</v>
          </cell>
          <cell r="R24">
            <v>306488</v>
          </cell>
        </row>
        <row r="25">
          <cell r="E25">
            <v>0</v>
          </cell>
          <cell r="F25">
            <v>0</v>
          </cell>
          <cell r="J25">
            <v>0</v>
          </cell>
          <cell r="K25">
            <v>0</v>
          </cell>
          <cell r="R25">
            <v>558259545</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02"/>
      <sheetName val="03"/>
      <sheetName val="04"/>
      <sheetName val="06"/>
      <sheetName val="07"/>
      <sheetName val="Việc lũy tiến"/>
      <sheetName val="Tiền lũy tiến"/>
    </sheetNames>
    <sheetDataSet>
      <sheetData sheetId="18">
        <row r="12">
          <cell r="E12">
            <v>116</v>
          </cell>
        </row>
        <row r="13">
          <cell r="E13">
            <v>81</v>
          </cell>
        </row>
        <row r="14">
          <cell r="E14">
            <v>149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ua  mau an tuyen khong ro 9"/>
      <sheetName val="Mẫu BC việc theo CHV Mẫu 06"/>
      <sheetName val="Mẫu BC tiền theo CHV Mẫu 07"/>
      <sheetName val="Việc CĐ Mau 01.THA"/>
      <sheetName val="PT chỉ tiêu Mau 01.THA"/>
      <sheetName val="ViệcTĐ Mau 02.THA"/>
      <sheetName val="PT chi tieu mau 02.THA"/>
      <sheetName val="Tiền CĐ Mẫu 03.THA"/>
      <sheetName val="PT chỉ tiêu Mẫu 03.THA"/>
      <sheetName val="Tiền TĐ Mau 04.THA"/>
      <sheetName val="PT Mẫu 04.THA"/>
      <sheetName val="Ttiền theo đối tượng Mẫu 05"/>
      <sheetName val="BC việc theo CHV Mẫu 06"/>
      <sheetName val="BC tiền theo CHV Mẫu 07"/>
      <sheetName val="Mãu BC mien giam 8"/>
      <sheetName val="Mau an tuyen khong ro 9"/>
      <sheetName val="Mau cuong che 10"/>
      <sheetName val="khieu nai 11"/>
      <sheetName val="to cao 12"/>
      <sheetName val="bien che 13"/>
      <sheetName val="chat luong can bo 14"/>
      <sheetName val="giam sat 15"/>
      <sheetName val="kiem sat 16"/>
      <sheetName val="khanh nghi 17"/>
      <sheetName val="boi thuong 18"/>
      <sheetName val="don doc 19"/>
    </sheetNames>
    <sheetDataSet>
      <sheetData sheetId="1">
        <row r="13">
          <cell r="E13">
            <v>14</v>
          </cell>
        </row>
        <row r="15">
          <cell r="E15">
            <v>12</v>
          </cell>
        </row>
        <row r="16">
          <cell r="E16">
            <v>9</v>
          </cell>
        </row>
        <row r="17">
          <cell r="E17">
            <v>10</v>
          </cell>
        </row>
        <row r="18">
          <cell r="E18">
            <v>8</v>
          </cell>
        </row>
        <row r="19">
          <cell r="E19">
            <v>9</v>
          </cell>
        </row>
        <row r="20">
          <cell r="E20">
            <v>8</v>
          </cell>
        </row>
      </sheetData>
      <sheetData sheetId="2">
        <row r="13">
          <cell r="E13">
            <v>4745113</v>
          </cell>
        </row>
        <row r="15">
          <cell r="E15">
            <v>1236758</v>
          </cell>
        </row>
        <row r="16">
          <cell r="E16">
            <v>2625889</v>
          </cell>
        </row>
        <row r="17">
          <cell r="E17">
            <v>1489700</v>
          </cell>
        </row>
        <row r="18">
          <cell r="E18">
            <v>655981</v>
          </cell>
        </row>
        <row r="19">
          <cell r="E19">
            <v>816475</v>
          </cell>
        </row>
        <row r="20">
          <cell r="E20">
            <v>652326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01(ch)"/>
      <sheetName val="4"/>
      <sheetName val="1(A)"/>
      <sheetName val="5"/>
      <sheetName val="6"/>
      <sheetName val="1(ci)"/>
      <sheetName val="1(Nhàn)"/>
      <sheetName val="7"/>
      <sheetName val="2(h)"/>
      <sheetName val="2(1)"/>
      <sheetName val="2(N)"/>
      <sheetName val="2(2)"/>
      <sheetName val="2(s)"/>
      <sheetName val="2(3)"/>
      <sheetName val="2(ch)"/>
      <sheetName val="2(4)"/>
      <sheetName val="2(A)"/>
      <sheetName val="2(5)"/>
      <sheetName val="2(Ci)"/>
      <sheetName val="2(6)"/>
      <sheetName val="2(nhàn)"/>
      <sheetName val="2(7)"/>
      <sheetName val="3(h)"/>
      <sheetName val="3(1)"/>
      <sheetName val="3(n)"/>
      <sheetName val="3(2)"/>
      <sheetName val="3(s)"/>
      <sheetName val="3(3)"/>
      <sheetName val="3(ch)"/>
      <sheetName val="3(4)"/>
      <sheetName val="3(a)"/>
      <sheetName val="3(5)"/>
      <sheetName val="3(Ci)"/>
      <sheetName val="3(6)"/>
      <sheetName val="3(nhàn)"/>
      <sheetName val="3(7)"/>
      <sheetName val="4(h)"/>
      <sheetName val="4.1"/>
      <sheetName val="4(n)"/>
      <sheetName val="4(2)"/>
      <sheetName val="4(s)"/>
      <sheetName val="4(3)"/>
      <sheetName val="4(ch)"/>
      <sheetName val="4(4)"/>
      <sheetName val="4(A)"/>
      <sheetName val="4(5)"/>
      <sheetName val="4(Ci)"/>
      <sheetName val="4(6)"/>
      <sheetName val="4(nhàn)"/>
      <sheetName val="4(7)"/>
      <sheetName val="5(h)"/>
      <sheetName val="5(n)"/>
      <sheetName val="5(s)"/>
      <sheetName val="5(ch)"/>
      <sheetName val="5(A)"/>
      <sheetName val="5(CI)"/>
      <sheetName val="5(nhàn)"/>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84">
        <row r="14">
          <cell r="F14">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01(ch)"/>
      <sheetName val="4"/>
      <sheetName val="1(A)"/>
      <sheetName val="5"/>
      <sheetName val="6"/>
      <sheetName val="1(ci)"/>
      <sheetName val="1(Nhàn)"/>
      <sheetName val="7"/>
      <sheetName val="2(h)"/>
      <sheetName val="2(1)"/>
      <sheetName val="2(N)"/>
      <sheetName val="2(2)"/>
      <sheetName val="2(s)"/>
      <sheetName val="2(3)"/>
      <sheetName val="2(ch)"/>
      <sheetName val="2(4)"/>
      <sheetName val="2(A)"/>
      <sheetName val="2(5)"/>
      <sheetName val="2(Ci)"/>
      <sheetName val="2(6)"/>
      <sheetName val="2(nhàn)"/>
      <sheetName val="2(7)"/>
      <sheetName val="3(h)"/>
      <sheetName val="3(1)"/>
      <sheetName val="3(n)"/>
      <sheetName val="3(2)"/>
      <sheetName val="3(s)"/>
      <sheetName val="3(3)"/>
      <sheetName val="3(ch)"/>
      <sheetName val="3(4)"/>
      <sheetName val="3(a)"/>
      <sheetName val="3(5)"/>
      <sheetName val="3(Ci)"/>
      <sheetName val="3(6)"/>
      <sheetName val="3(nhàn)"/>
      <sheetName val="3(7)"/>
      <sheetName val="4(h)"/>
      <sheetName val="4.1"/>
      <sheetName val="4(n)"/>
      <sheetName val="4(2)"/>
      <sheetName val="4(s)"/>
      <sheetName val="4(3)"/>
      <sheetName val="4(ch)"/>
      <sheetName val="4(4)"/>
      <sheetName val="4(A)"/>
      <sheetName val="4(5)"/>
      <sheetName val="4(Ci)"/>
      <sheetName val="4(6)"/>
      <sheetName val="4(nhàn)"/>
      <sheetName val="4(7)"/>
      <sheetName val="5(h)"/>
      <sheetName val="5(n)"/>
      <sheetName val="5(s)"/>
      <sheetName val="5(ch)"/>
      <sheetName val="5(A)"/>
      <sheetName val="5(CI)"/>
      <sheetName val="5(nhàn)"/>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84">
        <row r="12">
          <cell r="E12">
            <v>41</v>
          </cell>
          <cell r="F12">
            <v>0</v>
          </cell>
          <cell r="J12">
            <v>20</v>
          </cell>
          <cell r="K12">
            <v>1</v>
          </cell>
          <cell r="M12">
            <v>0</v>
          </cell>
          <cell r="N12">
            <v>0</v>
          </cell>
          <cell r="O12">
            <v>0</v>
          </cell>
          <cell r="P12">
            <v>0</v>
          </cell>
          <cell r="Q12">
            <v>97</v>
          </cell>
        </row>
        <row r="13">
          <cell r="E13">
            <v>41</v>
          </cell>
          <cell r="F13">
            <v>0</v>
          </cell>
          <cell r="J13">
            <v>19</v>
          </cell>
          <cell r="K13">
            <v>2</v>
          </cell>
          <cell r="M13">
            <v>0</v>
          </cell>
          <cell r="N13">
            <v>0</v>
          </cell>
          <cell r="P13">
            <v>0</v>
          </cell>
          <cell r="Q13">
            <v>79</v>
          </cell>
        </row>
        <row r="14">
          <cell r="E14">
            <v>18</v>
          </cell>
          <cell r="J14">
            <v>11</v>
          </cell>
          <cell r="K14">
            <v>1</v>
          </cell>
          <cell r="M14">
            <v>0</v>
          </cell>
          <cell r="N14">
            <v>0</v>
          </cell>
          <cell r="P14">
            <v>0</v>
          </cell>
          <cell r="Q14">
            <v>111</v>
          </cell>
        </row>
        <row r="15">
          <cell r="E15">
            <v>28</v>
          </cell>
          <cell r="F15">
            <v>0</v>
          </cell>
          <cell r="J15">
            <v>23</v>
          </cell>
          <cell r="K15">
            <v>2</v>
          </cell>
          <cell r="M15">
            <v>0</v>
          </cell>
          <cell r="N15">
            <v>0</v>
          </cell>
          <cell r="P15">
            <v>0</v>
          </cell>
          <cell r="Q15">
            <v>50</v>
          </cell>
        </row>
        <row r="16">
          <cell r="E16">
            <v>17</v>
          </cell>
          <cell r="F16">
            <v>0</v>
          </cell>
          <cell r="J16">
            <v>4</v>
          </cell>
          <cell r="K16">
            <v>1</v>
          </cell>
          <cell r="M16">
            <v>8</v>
          </cell>
          <cell r="N16">
            <v>0</v>
          </cell>
          <cell r="O16">
            <v>0</v>
          </cell>
          <cell r="P16">
            <v>6</v>
          </cell>
          <cell r="Q16">
            <v>51</v>
          </cell>
        </row>
        <row r="17">
          <cell r="E17">
            <v>51</v>
          </cell>
          <cell r="F17">
            <v>0</v>
          </cell>
          <cell r="J17">
            <v>18</v>
          </cell>
          <cell r="K17">
            <v>0</v>
          </cell>
          <cell r="M17">
            <v>0</v>
          </cell>
          <cell r="N17">
            <v>0</v>
          </cell>
          <cell r="O17">
            <v>0</v>
          </cell>
          <cell r="P17">
            <v>0</v>
          </cell>
          <cell r="Q17">
            <v>67</v>
          </cell>
        </row>
        <row r="18">
          <cell r="E18">
            <v>9</v>
          </cell>
          <cell r="F18">
            <v>1</v>
          </cell>
          <cell r="J18">
            <v>6</v>
          </cell>
          <cell r="K18">
            <v>0</v>
          </cell>
          <cell r="M18">
            <v>4</v>
          </cell>
          <cell r="N18">
            <v>0</v>
          </cell>
          <cell r="O18">
            <v>0</v>
          </cell>
          <cell r="P18">
            <v>0</v>
          </cell>
          <cell r="Q18">
            <v>47</v>
          </cell>
        </row>
      </sheetData>
      <sheetData sheetId="85">
        <row r="12">
          <cell r="E12">
            <v>1847422</v>
          </cell>
          <cell r="F12">
            <v>0</v>
          </cell>
          <cell r="J12">
            <v>88385</v>
          </cell>
          <cell r="K12">
            <v>80000</v>
          </cell>
          <cell r="L12">
            <v>0</v>
          </cell>
          <cell r="N12">
            <v>0</v>
          </cell>
          <cell r="O12">
            <v>0</v>
          </cell>
          <cell r="P12">
            <v>0</v>
          </cell>
          <cell r="Q12">
            <v>0</v>
          </cell>
          <cell r="R12">
            <v>32833908</v>
          </cell>
        </row>
        <row r="13">
          <cell r="E13">
            <v>1359493</v>
          </cell>
          <cell r="F13">
            <v>0</v>
          </cell>
          <cell r="J13">
            <v>1046684</v>
          </cell>
          <cell r="K13">
            <v>23500</v>
          </cell>
          <cell r="L13">
            <v>0</v>
          </cell>
          <cell r="N13">
            <v>0</v>
          </cell>
          <cell r="O13">
            <v>0</v>
          </cell>
          <cell r="P13">
            <v>0</v>
          </cell>
          <cell r="Q13">
            <v>0</v>
          </cell>
          <cell r="R13">
            <v>6240931</v>
          </cell>
        </row>
        <row r="14">
          <cell r="E14">
            <v>8544824</v>
          </cell>
          <cell r="F14">
            <v>0</v>
          </cell>
          <cell r="J14">
            <v>793469</v>
          </cell>
          <cell r="K14">
            <v>8473771</v>
          </cell>
          <cell r="L14">
            <v>0</v>
          </cell>
          <cell r="N14">
            <v>0</v>
          </cell>
          <cell r="O14">
            <v>0</v>
          </cell>
          <cell r="P14">
            <v>0</v>
          </cell>
          <cell r="Q14">
            <v>0</v>
          </cell>
          <cell r="R14">
            <v>6166992</v>
          </cell>
        </row>
        <row r="15">
          <cell r="E15">
            <v>3845305</v>
          </cell>
          <cell r="F15">
            <v>0</v>
          </cell>
          <cell r="J15">
            <v>1097977</v>
          </cell>
          <cell r="K15">
            <v>3787281</v>
          </cell>
          <cell r="L15">
            <v>0</v>
          </cell>
          <cell r="N15">
            <v>0</v>
          </cell>
          <cell r="O15">
            <v>0</v>
          </cell>
          <cell r="P15">
            <v>0</v>
          </cell>
          <cell r="Q15">
            <v>0</v>
          </cell>
          <cell r="R15">
            <v>3337254</v>
          </cell>
        </row>
        <row r="16">
          <cell r="E16">
            <v>2144411</v>
          </cell>
          <cell r="F16">
            <v>0</v>
          </cell>
          <cell r="J16">
            <v>19540</v>
          </cell>
          <cell r="K16">
            <v>0</v>
          </cell>
          <cell r="L16">
            <v>0</v>
          </cell>
          <cell r="N16">
            <v>1032486</v>
          </cell>
          <cell r="O16">
            <v>0</v>
          </cell>
          <cell r="Q16">
            <v>7295816</v>
          </cell>
          <cell r="R16">
            <v>3319764</v>
          </cell>
        </row>
        <row r="17">
          <cell r="E17">
            <v>6959940</v>
          </cell>
          <cell r="F17">
            <v>0</v>
          </cell>
          <cell r="J17">
            <v>146249</v>
          </cell>
          <cell r="K17">
            <v>0</v>
          </cell>
          <cell r="L17">
            <v>0</v>
          </cell>
          <cell r="N17">
            <v>0</v>
          </cell>
          <cell r="O17">
            <v>0</v>
          </cell>
          <cell r="P17">
            <v>0</v>
          </cell>
          <cell r="Q17">
            <v>0</v>
          </cell>
          <cell r="R17">
            <v>10129742</v>
          </cell>
        </row>
        <row r="18">
          <cell r="E18">
            <v>65623</v>
          </cell>
          <cell r="F18">
            <v>2745</v>
          </cell>
          <cell r="J18">
            <v>93735</v>
          </cell>
          <cell r="K18">
            <v>0</v>
          </cell>
          <cell r="L18">
            <v>0</v>
          </cell>
          <cell r="N18">
            <v>176400</v>
          </cell>
          <cell r="O18">
            <v>0</v>
          </cell>
          <cell r="P18">
            <v>0</v>
          </cell>
          <cell r="Q18">
            <v>0</v>
          </cell>
          <cell r="R18">
            <v>1292456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sheetName val="theo doi so lieu"/>
    </sheetNames>
    <sheetDataSet>
      <sheetData sheetId="40">
        <row r="14">
          <cell r="E14">
            <v>16</v>
          </cell>
          <cell r="F14">
            <v>0</v>
          </cell>
          <cell r="J14">
            <v>14</v>
          </cell>
          <cell r="K14">
            <v>0</v>
          </cell>
          <cell r="M14">
            <v>0</v>
          </cell>
          <cell r="N14">
            <v>0</v>
          </cell>
          <cell r="O14">
            <v>0</v>
          </cell>
          <cell r="P14">
            <v>0</v>
          </cell>
          <cell r="Q14">
            <v>0</v>
          </cell>
        </row>
        <row r="15">
          <cell r="E15">
            <v>47</v>
          </cell>
          <cell r="F15">
            <v>0</v>
          </cell>
          <cell r="J15">
            <v>16</v>
          </cell>
          <cell r="K15">
            <v>0</v>
          </cell>
          <cell r="M15">
            <v>0</v>
          </cell>
          <cell r="N15">
            <v>0</v>
          </cell>
          <cell r="O15">
            <v>0</v>
          </cell>
          <cell r="P15">
            <v>0</v>
          </cell>
          <cell r="Q15">
            <v>47</v>
          </cell>
        </row>
        <row r="16">
          <cell r="E16">
            <v>22</v>
          </cell>
          <cell r="F16">
            <v>0</v>
          </cell>
          <cell r="J16">
            <v>11</v>
          </cell>
          <cell r="K16">
            <v>0</v>
          </cell>
          <cell r="M16">
            <v>0</v>
          </cell>
          <cell r="N16">
            <v>0</v>
          </cell>
          <cell r="O16">
            <v>0</v>
          </cell>
          <cell r="P16">
            <v>0</v>
          </cell>
          <cell r="Q16">
            <v>40</v>
          </cell>
        </row>
        <row r="17">
          <cell r="E17">
            <v>31</v>
          </cell>
          <cell r="F17">
            <v>0</v>
          </cell>
          <cell r="J17">
            <v>13</v>
          </cell>
          <cell r="K17">
            <v>0</v>
          </cell>
          <cell r="M17">
            <v>1</v>
          </cell>
          <cell r="N17">
            <v>0</v>
          </cell>
          <cell r="O17">
            <v>0</v>
          </cell>
          <cell r="P17">
            <v>0</v>
          </cell>
          <cell r="Q17">
            <v>19</v>
          </cell>
        </row>
        <row r="18">
          <cell r="E18">
            <v>34</v>
          </cell>
          <cell r="F18">
            <v>0</v>
          </cell>
          <cell r="J18">
            <v>13</v>
          </cell>
          <cell r="K18">
            <v>1</v>
          </cell>
          <cell r="M18">
            <v>8</v>
          </cell>
          <cell r="N18">
            <v>1</v>
          </cell>
          <cell r="O18">
            <v>0</v>
          </cell>
          <cell r="P18">
            <v>0</v>
          </cell>
          <cell r="Q18">
            <v>67</v>
          </cell>
        </row>
      </sheetData>
      <sheetData sheetId="41">
        <row r="14">
          <cell r="E14">
            <v>71613</v>
          </cell>
          <cell r="F14">
            <v>0</v>
          </cell>
          <cell r="J14">
            <v>65411</v>
          </cell>
          <cell r="K14">
            <v>0</v>
          </cell>
          <cell r="L14">
            <v>0</v>
          </cell>
          <cell r="N14">
            <v>0</v>
          </cell>
          <cell r="O14">
            <v>0</v>
          </cell>
          <cell r="P14">
            <v>0</v>
          </cell>
          <cell r="Q14">
            <v>0</v>
          </cell>
          <cell r="R14">
            <v>0</v>
          </cell>
        </row>
        <row r="15">
          <cell r="E15">
            <v>2634467</v>
          </cell>
          <cell r="F15">
            <v>0</v>
          </cell>
          <cell r="J15">
            <v>103047</v>
          </cell>
          <cell r="K15">
            <v>0</v>
          </cell>
          <cell r="L15">
            <v>0</v>
          </cell>
          <cell r="N15">
            <v>0</v>
          </cell>
          <cell r="O15">
            <v>0</v>
          </cell>
          <cell r="P15">
            <v>0</v>
          </cell>
          <cell r="Q15">
            <v>0</v>
          </cell>
          <cell r="R15">
            <v>3564337.409</v>
          </cell>
        </row>
        <row r="16">
          <cell r="E16">
            <v>1773727</v>
          </cell>
          <cell r="F16">
            <v>0</v>
          </cell>
          <cell r="J16">
            <v>39941</v>
          </cell>
          <cell r="K16">
            <v>4796</v>
          </cell>
          <cell r="L16">
            <v>0</v>
          </cell>
          <cell r="N16">
            <v>0</v>
          </cell>
          <cell r="O16">
            <v>0</v>
          </cell>
          <cell r="P16">
            <v>0</v>
          </cell>
          <cell r="Q16">
            <v>0</v>
          </cell>
          <cell r="R16">
            <v>4261003</v>
          </cell>
        </row>
        <row r="17">
          <cell r="E17">
            <v>201186</v>
          </cell>
          <cell r="F17">
            <v>0</v>
          </cell>
          <cell r="J17">
            <v>38164</v>
          </cell>
          <cell r="K17">
            <v>0</v>
          </cell>
          <cell r="L17">
            <v>0</v>
          </cell>
          <cell r="N17">
            <v>1000</v>
          </cell>
          <cell r="O17">
            <v>0</v>
          </cell>
          <cell r="P17">
            <v>0</v>
          </cell>
          <cell r="Q17">
            <v>0</v>
          </cell>
          <cell r="R17">
            <v>6607576</v>
          </cell>
        </row>
        <row r="18">
          <cell r="E18">
            <v>829447</v>
          </cell>
          <cell r="F18">
            <v>0</v>
          </cell>
          <cell r="J18">
            <v>177013</v>
          </cell>
          <cell r="K18">
            <v>12500</v>
          </cell>
          <cell r="L18">
            <v>12549</v>
          </cell>
          <cell r="N18">
            <v>745437</v>
          </cell>
          <cell r="O18">
            <v>1303330</v>
          </cell>
          <cell r="P18">
            <v>0</v>
          </cell>
          <cell r="Q18">
            <v>0</v>
          </cell>
          <cell r="R18">
            <v>27385327</v>
          </cell>
        </row>
        <row r="19">
          <cell r="E19">
            <v>0</v>
          </cell>
          <cell r="F19">
            <v>0</v>
          </cell>
          <cell r="J19">
            <v>0</v>
          </cell>
          <cell r="K19">
            <v>0</v>
          </cell>
          <cell r="L19">
            <v>0</v>
          </cell>
          <cell r="R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74" t="s">
        <v>26</v>
      </c>
      <c r="B1" s="574"/>
      <c r="C1" s="573" t="s">
        <v>74</v>
      </c>
      <c r="D1" s="573"/>
      <c r="E1" s="573"/>
      <c r="F1" s="575" t="s">
        <v>70</v>
      </c>
      <c r="G1" s="575"/>
      <c r="H1" s="575"/>
    </row>
    <row r="2" spans="1:8" ht="33.75" customHeight="1">
      <c r="A2" s="576" t="s">
        <v>77</v>
      </c>
      <c r="B2" s="576"/>
      <c r="C2" s="573"/>
      <c r="D2" s="573"/>
      <c r="E2" s="573"/>
      <c r="F2" s="572" t="s">
        <v>71</v>
      </c>
      <c r="G2" s="572"/>
      <c r="H2" s="572"/>
    </row>
    <row r="3" spans="1:8" ht="19.5" customHeight="1">
      <c r="A3" s="6" t="s">
        <v>65</v>
      </c>
      <c r="B3" s="6"/>
      <c r="C3" s="24"/>
      <c r="D3" s="24"/>
      <c r="E3" s="24"/>
      <c r="F3" s="572" t="s">
        <v>72</v>
      </c>
      <c r="G3" s="572"/>
      <c r="H3" s="572"/>
    </row>
    <row r="4" spans="1:8" s="7" customFormat="1" ht="19.5" customHeight="1">
      <c r="A4" s="6"/>
      <c r="B4" s="6"/>
      <c r="D4" s="8"/>
      <c r="F4" s="9" t="s">
        <v>73</v>
      </c>
      <c r="G4" s="9"/>
      <c r="H4" s="9"/>
    </row>
    <row r="5" spans="1:8" s="23" customFormat="1" ht="36" customHeight="1">
      <c r="A5" s="554" t="s">
        <v>57</v>
      </c>
      <c r="B5" s="555"/>
      <c r="C5" s="558" t="s">
        <v>68</v>
      </c>
      <c r="D5" s="559"/>
      <c r="E5" s="560" t="s">
        <v>67</v>
      </c>
      <c r="F5" s="560"/>
      <c r="G5" s="560"/>
      <c r="H5" s="561"/>
    </row>
    <row r="6" spans="1:8" s="23" customFormat="1" ht="20.25" customHeight="1">
      <c r="A6" s="556"/>
      <c r="B6" s="557"/>
      <c r="C6" s="562" t="s">
        <v>3</v>
      </c>
      <c r="D6" s="562" t="s">
        <v>75</v>
      </c>
      <c r="E6" s="564" t="s">
        <v>69</v>
      </c>
      <c r="F6" s="561"/>
      <c r="G6" s="564" t="s">
        <v>76</v>
      </c>
      <c r="H6" s="561"/>
    </row>
    <row r="7" spans="1:8" s="23" customFormat="1" ht="52.5" customHeight="1">
      <c r="A7" s="556"/>
      <c r="B7" s="557"/>
      <c r="C7" s="563"/>
      <c r="D7" s="563"/>
      <c r="E7" s="5" t="s">
        <v>3</v>
      </c>
      <c r="F7" s="5" t="s">
        <v>9</v>
      </c>
      <c r="G7" s="5" t="s">
        <v>3</v>
      </c>
      <c r="H7" s="5" t="s">
        <v>9</v>
      </c>
    </row>
    <row r="8" spans="1:8" ht="15" customHeight="1">
      <c r="A8" s="566" t="s">
        <v>6</v>
      </c>
      <c r="B8" s="567"/>
      <c r="C8" s="10">
        <v>1</v>
      </c>
      <c r="D8" s="10" t="s">
        <v>44</v>
      </c>
      <c r="E8" s="10" t="s">
        <v>49</v>
      </c>
      <c r="F8" s="10" t="s">
        <v>58</v>
      </c>
      <c r="G8" s="10" t="s">
        <v>59</v>
      </c>
      <c r="H8" s="10" t="s">
        <v>60</v>
      </c>
    </row>
    <row r="9" spans="1:8" ht="26.25" customHeight="1">
      <c r="A9" s="568" t="s">
        <v>33</v>
      </c>
      <c r="B9" s="569"/>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70" t="s">
        <v>56</v>
      </c>
      <c r="C16" s="570"/>
      <c r="D16" s="26"/>
      <c r="E16" s="551" t="s">
        <v>19</v>
      </c>
      <c r="F16" s="551"/>
      <c r="G16" s="551"/>
      <c r="H16" s="551"/>
    </row>
    <row r="17" spans="2:8" ht="15.75" customHeight="1">
      <c r="B17" s="570"/>
      <c r="C17" s="570"/>
      <c r="D17" s="26"/>
      <c r="E17" s="552" t="s">
        <v>38</v>
      </c>
      <c r="F17" s="552"/>
      <c r="G17" s="552"/>
      <c r="H17" s="552"/>
    </row>
    <row r="18" spans="2:8" s="27" customFormat="1" ht="15.75" customHeight="1">
      <c r="B18" s="570"/>
      <c r="C18" s="570"/>
      <c r="D18" s="28"/>
      <c r="E18" s="553" t="s">
        <v>55</v>
      </c>
      <c r="F18" s="553"/>
      <c r="G18" s="553"/>
      <c r="H18" s="553"/>
    </row>
    <row r="20" ht="15.75">
      <c r="B20" s="19"/>
    </row>
    <row r="22" ht="15.75" hidden="1">
      <c r="A22" s="20" t="s">
        <v>41</v>
      </c>
    </row>
    <row r="23" spans="1:3" ht="15.75" hidden="1">
      <c r="A23" s="21"/>
      <c r="B23" s="571" t="s">
        <v>50</v>
      </c>
      <c r="C23" s="571"/>
    </row>
    <row r="24" spans="1:8" ht="15.75" customHeight="1" hidden="1">
      <c r="A24" s="22" t="s">
        <v>25</v>
      </c>
      <c r="B24" s="565" t="s">
        <v>53</v>
      </c>
      <c r="C24" s="565"/>
      <c r="D24" s="22"/>
      <c r="E24" s="22"/>
      <c r="F24" s="22"/>
      <c r="G24" s="22"/>
      <c r="H24" s="22"/>
    </row>
    <row r="25" spans="1:8" ht="15" customHeight="1" hidden="1">
      <c r="A25" s="22"/>
      <c r="B25" s="565" t="s">
        <v>54</v>
      </c>
      <c r="C25" s="565"/>
      <c r="D25" s="565"/>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46" t="s">
        <v>231</v>
      </c>
      <c r="B1" s="746"/>
      <c r="C1" s="746"/>
      <c r="D1" s="749" t="s">
        <v>346</v>
      </c>
      <c r="E1" s="749"/>
      <c r="F1" s="749"/>
      <c r="G1" s="749"/>
      <c r="H1" s="749"/>
      <c r="I1" s="749"/>
      <c r="J1" s="191" t="s">
        <v>347</v>
      </c>
      <c r="K1" s="322"/>
      <c r="L1" s="322"/>
    </row>
    <row r="2" spans="1:12" ht="18.75" customHeight="1">
      <c r="A2" s="747" t="s">
        <v>305</v>
      </c>
      <c r="B2" s="747"/>
      <c r="C2" s="747"/>
      <c r="D2" s="831" t="s">
        <v>232</v>
      </c>
      <c r="E2" s="831"/>
      <c r="F2" s="831"/>
      <c r="G2" s="831"/>
      <c r="H2" s="831"/>
      <c r="I2" s="831"/>
      <c r="J2" s="746" t="s">
        <v>348</v>
      </c>
      <c r="K2" s="746"/>
      <c r="L2" s="746"/>
    </row>
    <row r="3" spans="1:12" ht="17.25">
      <c r="A3" s="747" t="s">
        <v>257</v>
      </c>
      <c r="B3" s="747"/>
      <c r="C3" s="747"/>
      <c r="D3" s="832" t="s">
        <v>349</v>
      </c>
      <c r="E3" s="833"/>
      <c r="F3" s="833"/>
      <c r="G3" s="833"/>
      <c r="H3" s="833"/>
      <c r="I3" s="833"/>
      <c r="J3" s="194" t="s">
        <v>365</v>
      </c>
      <c r="K3" s="194"/>
      <c r="L3" s="194"/>
    </row>
    <row r="4" spans="1:12" ht="15.75">
      <c r="A4" s="835" t="s">
        <v>350</v>
      </c>
      <c r="B4" s="835"/>
      <c r="C4" s="835"/>
      <c r="D4" s="836"/>
      <c r="E4" s="836"/>
      <c r="F4" s="836"/>
      <c r="G4" s="836"/>
      <c r="H4" s="836"/>
      <c r="I4" s="836"/>
      <c r="J4" s="733" t="s">
        <v>307</v>
      </c>
      <c r="K4" s="733"/>
      <c r="L4" s="733"/>
    </row>
    <row r="5" spans="1:13" ht="15.75">
      <c r="A5" s="324"/>
      <c r="B5" s="324"/>
      <c r="C5" s="325"/>
      <c r="D5" s="325"/>
      <c r="E5" s="193"/>
      <c r="J5" s="326" t="s">
        <v>351</v>
      </c>
      <c r="K5" s="241"/>
      <c r="L5" s="241"/>
      <c r="M5" s="241"/>
    </row>
    <row r="6" spans="1:13" s="329" customFormat="1" ht="24.75" customHeight="1">
      <c r="A6" s="839" t="s">
        <v>57</v>
      </c>
      <c r="B6" s="840"/>
      <c r="C6" s="834" t="s">
        <v>352</v>
      </c>
      <c r="D6" s="834"/>
      <c r="E6" s="834"/>
      <c r="F6" s="834"/>
      <c r="G6" s="834"/>
      <c r="H6" s="834"/>
      <c r="I6" s="834" t="s">
        <v>233</v>
      </c>
      <c r="J6" s="834"/>
      <c r="K6" s="834"/>
      <c r="L6" s="834"/>
      <c r="M6" s="328"/>
    </row>
    <row r="7" spans="1:13" s="329" customFormat="1" ht="17.25" customHeight="1">
      <c r="A7" s="841"/>
      <c r="B7" s="842"/>
      <c r="C7" s="834" t="s">
        <v>31</v>
      </c>
      <c r="D7" s="834"/>
      <c r="E7" s="834" t="s">
        <v>7</v>
      </c>
      <c r="F7" s="834"/>
      <c r="G7" s="834"/>
      <c r="H7" s="834"/>
      <c r="I7" s="834" t="s">
        <v>234</v>
      </c>
      <c r="J7" s="834"/>
      <c r="K7" s="834" t="s">
        <v>235</v>
      </c>
      <c r="L7" s="834"/>
      <c r="M7" s="328"/>
    </row>
    <row r="8" spans="1:12" s="329" customFormat="1" ht="27.75" customHeight="1">
      <c r="A8" s="841"/>
      <c r="B8" s="842"/>
      <c r="C8" s="834"/>
      <c r="D8" s="834"/>
      <c r="E8" s="834" t="s">
        <v>236</v>
      </c>
      <c r="F8" s="834"/>
      <c r="G8" s="834" t="s">
        <v>237</v>
      </c>
      <c r="H8" s="834"/>
      <c r="I8" s="834"/>
      <c r="J8" s="834"/>
      <c r="K8" s="834"/>
      <c r="L8" s="834"/>
    </row>
    <row r="9" spans="1:12" s="329" customFormat="1" ht="24.75" customHeight="1">
      <c r="A9" s="843"/>
      <c r="B9" s="844"/>
      <c r="C9" s="327" t="s">
        <v>238</v>
      </c>
      <c r="D9" s="327" t="s">
        <v>9</v>
      </c>
      <c r="E9" s="327" t="s">
        <v>3</v>
      </c>
      <c r="F9" s="327" t="s">
        <v>239</v>
      </c>
      <c r="G9" s="327" t="s">
        <v>3</v>
      </c>
      <c r="H9" s="327" t="s">
        <v>239</v>
      </c>
      <c r="I9" s="327" t="s">
        <v>3</v>
      </c>
      <c r="J9" s="327" t="s">
        <v>239</v>
      </c>
      <c r="K9" s="327" t="s">
        <v>3</v>
      </c>
      <c r="L9" s="327" t="s">
        <v>239</v>
      </c>
    </row>
    <row r="10" spans="1:12" s="331" customFormat="1" ht="15.75">
      <c r="A10" s="767" t="s">
        <v>6</v>
      </c>
      <c r="B10" s="768"/>
      <c r="C10" s="330">
        <v>1</v>
      </c>
      <c r="D10" s="330">
        <v>2</v>
      </c>
      <c r="E10" s="330">
        <v>3</v>
      </c>
      <c r="F10" s="330">
        <v>4</v>
      </c>
      <c r="G10" s="330">
        <v>5</v>
      </c>
      <c r="H10" s="330">
        <v>6</v>
      </c>
      <c r="I10" s="330">
        <v>7</v>
      </c>
      <c r="J10" s="330">
        <v>8</v>
      </c>
      <c r="K10" s="330">
        <v>9</v>
      </c>
      <c r="L10" s="330">
        <v>10</v>
      </c>
    </row>
    <row r="11" spans="1:12" s="331" customFormat="1" ht="30.75" customHeight="1">
      <c r="A11" s="757" t="s">
        <v>302</v>
      </c>
      <c r="B11" s="758"/>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60" t="s">
        <v>303</v>
      </c>
      <c r="B12" s="761"/>
      <c r="C12" s="249">
        <v>0</v>
      </c>
      <c r="D12" s="249">
        <v>0</v>
      </c>
      <c r="E12" s="249">
        <v>0</v>
      </c>
      <c r="F12" s="249">
        <v>0</v>
      </c>
      <c r="G12" s="249">
        <v>0</v>
      </c>
      <c r="H12" s="249">
        <v>0</v>
      </c>
      <c r="I12" s="249">
        <v>0</v>
      </c>
      <c r="J12" s="249">
        <v>0</v>
      </c>
      <c r="K12" s="249">
        <v>0</v>
      </c>
      <c r="L12" s="249">
        <v>0</v>
      </c>
    </row>
    <row r="13" spans="1:32" s="331" customFormat="1" ht="17.25" customHeight="1">
      <c r="A13" s="763" t="s">
        <v>30</v>
      </c>
      <c r="B13" s="743"/>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272</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304</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275</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276</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277</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278</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283</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285</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286</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287</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289</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55" t="s">
        <v>290</v>
      </c>
      <c r="C28" s="755"/>
      <c r="D28" s="755"/>
      <c r="E28" s="204"/>
      <c r="F28" s="258"/>
      <c r="G28" s="258"/>
      <c r="H28" s="754" t="s">
        <v>290</v>
      </c>
      <c r="I28" s="754"/>
      <c r="J28" s="754"/>
      <c r="K28" s="754"/>
      <c r="L28" s="754"/>
      <c r="AG28" s="192" t="s">
        <v>291</v>
      </c>
      <c r="AI28" s="190">
        <f>82/88</f>
        <v>0.9318181818181818</v>
      </c>
    </row>
    <row r="29" spans="1:12" s="192" customFormat="1" ht="19.5" customHeight="1">
      <c r="A29" s="202"/>
      <c r="B29" s="756" t="s">
        <v>240</v>
      </c>
      <c r="C29" s="756"/>
      <c r="D29" s="756"/>
      <c r="E29" s="204"/>
      <c r="F29" s="205"/>
      <c r="G29" s="205"/>
      <c r="H29" s="759" t="s">
        <v>158</v>
      </c>
      <c r="I29" s="759"/>
      <c r="J29" s="759"/>
      <c r="K29" s="759"/>
      <c r="L29" s="759"/>
    </row>
    <row r="30" spans="1:12" s="196" customFormat="1" ht="15" customHeight="1">
      <c r="A30" s="202"/>
      <c r="B30" s="838"/>
      <c r="C30" s="838"/>
      <c r="D30" s="838"/>
      <c r="E30" s="204"/>
      <c r="F30" s="205"/>
      <c r="G30" s="205"/>
      <c r="H30" s="711"/>
      <c r="I30" s="711"/>
      <c r="J30" s="711"/>
      <c r="K30" s="711"/>
      <c r="L30" s="711"/>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45" t="s">
        <v>294</v>
      </c>
      <c r="C33" s="845"/>
      <c r="D33" s="845"/>
      <c r="E33" s="336"/>
      <c r="F33" s="336"/>
      <c r="G33" s="336"/>
      <c r="H33" s="336"/>
      <c r="I33" s="336"/>
      <c r="J33" s="337" t="s">
        <v>294</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37" t="s">
        <v>241</v>
      </c>
      <c r="C37" s="837"/>
      <c r="D37" s="837"/>
      <c r="E37" s="837"/>
      <c r="F37" s="837"/>
      <c r="G37" s="837"/>
      <c r="H37" s="837"/>
      <c r="I37" s="837"/>
      <c r="J37" s="837"/>
      <c r="K37" s="339"/>
      <c r="L37" s="294"/>
      <c r="M37" s="265"/>
      <c r="N37" s="265"/>
      <c r="O37" s="265"/>
    </row>
    <row r="38" spans="2:12" s="184" customFormat="1" ht="18.75" hidden="1">
      <c r="B38" s="236" t="s">
        <v>242</v>
      </c>
      <c r="C38" s="186"/>
      <c r="D38" s="186"/>
      <c r="E38" s="186"/>
      <c r="F38" s="186"/>
      <c r="G38" s="186"/>
      <c r="H38" s="186"/>
      <c r="I38" s="186"/>
      <c r="J38" s="186"/>
      <c r="K38" s="338"/>
      <c r="L38" s="186"/>
    </row>
    <row r="39" spans="2:12" ht="18.75" hidden="1">
      <c r="B39" s="340" t="s">
        <v>243</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08" t="s">
        <v>336</v>
      </c>
      <c r="C41" s="608"/>
      <c r="D41" s="608"/>
      <c r="E41" s="210"/>
      <c r="F41" s="210"/>
      <c r="G41" s="182"/>
      <c r="H41" s="609" t="s">
        <v>248</v>
      </c>
      <c r="I41" s="609"/>
      <c r="J41" s="609"/>
      <c r="K41" s="609"/>
      <c r="L41" s="609"/>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46" t="s">
        <v>378</v>
      </c>
      <c r="M1" s="847"/>
      <c r="N1" s="847"/>
      <c r="O1" s="365"/>
      <c r="P1" s="365"/>
      <c r="Q1" s="365"/>
      <c r="R1" s="365"/>
      <c r="S1" s="365"/>
      <c r="T1" s="365"/>
      <c r="U1" s="365"/>
      <c r="V1" s="365"/>
      <c r="W1" s="365"/>
      <c r="X1" s="365"/>
      <c r="Y1" s="366"/>
    </row>
    <row r="2" spans="11:17" ht="34.5" customHeight="1">
      <c r="K2" s="349"/>
      <c r="L2" s="848" t="s">
        <v>385</v>
      </c>
      <c r="M2" s="849"/>
      <c r="N2" s="850"/>
      <c r="O2" s="29"/>
      <c r="P2" s="351"/>
      <c r="Q2" s="347"/>
    </row>
    <row r="3" spans="11:18" ht="31.5" customHeight="1">
      <c r="K3" s="349"/>
      <c r="L3" s="354" t="s">
        <v>394</v>
      </c>
      <c r="M3" s="355">
        <f>'06'!C11</f>
        <v>7102</v>
      </c>
      <c r="N3" s="355"/>
      <c r="O3" s="355"/>
      <c r="P3" s="352"/>
      <c r="Q3" s="348"/>
      <c r="R3" s="345"/>
    </row>
    <row r="4" spans="11:18" ht="30" customHeight="1">
      <c r="K4" s="349"/>
      <c r="L4" s="356" t="s">
        <v>379</v>
      </c>
      <c r="M4" s="357">
        <f>'06'!D11</f>
        <v>5727</v>
      </c>
      <c r="N4" s="355"/>
      <c r="O4" s="355"/>
      <c r="P4" s="352"/>
      <c r="Q4" s="348"/>
      <c r="R4" s="345"/>
    </row>
    <row r="5" spans="11:18" ht="31.5" customHeight="1">
      <c r="K5" s="349"/>
      <c r="L5" s="356" t="s">
        <v>380</v>
      </c>
      <c r="M5" s="357">
        <f>'06'!E11</f>
        <v>1375</v>
      </c>
      <c r="N5" s="355"/>
      <c r="O5" s="355"/>
      <c r="P5" s="352"/>
      <c r="Q5" s="348"/>
      <c r="R5" s="345"/>
    </row>
    <row r="6" spans="11:18" ht="27" customHeight="1">
      <c r="K6" s="349"/>
      <c r="L6" s="354" t="s">
        <v>381</v>
      </c>
      <c r="M6" s="355">
        <f>'06'!F11</f>
        <v>8</v>
      </c>
      <c r="N6" s="355"/>
      <c r="O6" s="355"/>
      <c r="P6" s="352"/>
      <c r="Q6" s="348"/>
      <c r="R6" s="345"/>
    </row>
    <row r="7" spans="11:18" s="342" customFormat="1" ht="30" customHeight="1">
      <c r="K7" s="350"/>
      <c r="L7" s="358" t="s">
        <v>397</v>
      </c>
      <c r="M7" s="355">
        <f>'06'!H11</f>
        <v>7094</v>
      </c>
      <c r="N7" s="355"/>
      <c r="O7" s="355"/>
      <c r="P7" s="352"/>
      <c r="Q7" s="348"/>
      <c r="R7" s="345"/>
    </row>
    <row r="8" spans="11:18" ht="30.75" customHeight="1">
      <c r="K8" s="349"/>
      <c r="L8" s="359" t="s">
        <v>396</v>
      </c>
      <c r="M8" s="360">
        <f>'[7]M6 Tong hop Viec CHV '!$C$12</f>
        <v>1489</v>
      </c>
      <c r="N8" s="355"/>
      <c r="O8" s="355"/>
      <c r="P8" s="352"/>
      <c r="Q8" s="348"/>
      <c r="R8" s="345"/>
    </row>
    <row r="9" spans="11:18" ht="33" customHeight="1">
      <c r="K9" s="349"/>
      <c r="L9" s="367" t="s">
        <v>399</v>
      </c>
      <c r="M9" s="368">
        <f>(M7-M8)/M8</f>
        <v>3.764271323035594</v>
      </c>
      <c r="N9" s="355"/>
      <c r="O9" s="355"/>
      <c r="P9" s="352"/>
      <c r="Q9" s="348"/>
      <c r="R9" s="345"/>
    </row>
    <row r="10" spans="11:18" ht="33" customHeight="1">
      <c r="K10" s="349"/>
      <c r="L10" s="354" t="s">
        <v>398</v>
      </c>
      <c r="M10" s="355">
        <f>'06'!I11</f>
        <v>4291</v>
      </c>
      <c r="N10" s="355" t="s">
        <v>382</v>
      </c>
      <c r="O10" s="361">
        <f>M10/M7</f>
        <v>0.6048773611502678</v>
      </c>
      <c r="P10" s="352"/>
      <c r="Q10" s="348"/>
      <c r="R10" s="345"/>
    </row>
    <row r="11" spans="11:18" ht="22.5" customHeight="1">
      <c r="K11" s="349"/>
      <c r="L11" s="354" t="s">
        <v>400</v>
      </c>
      <c r="M11" s="355">
        <f>'06'!Q11</f>
        <v>2803</v>
      </c>
      <c r="N11" s="355" t="s">
        <v>382</v>
      </c>
      <c r="O11" s="361">
        <f>M11/M7</f>
        <v>0.39512263884973214</v>
      </c>
      <c r="P11" s="352"/>
      <c r="Q11" s="348"/>
      <c r="R11" s="345"/>
    </row>
    <row r="12" spans="11:18" ht="34.5" customHeight="1">
      <c r="K12" s="349"/>
      <c r="L12" s="354" t="s">
        <v>401</v>
      </c>
      <c r="M12" s="355">
        <f>'06'!J11+'06'!K11</f>
        <v>686</v>
      </c>
      <c r="N12" s="354"/>
      <c r="O12" s="354"/>
      <c r="P12" s="346"/>
      <c r="R12" s="346"/>
    </row>
    <row r="13" spans="11:18" ht="33.75" customHeight="1">
      <c r="K13" s="349"/>
      <c r="L13" s="354" t="s">
        <v>402</v>
      </c>
      <c r="M13" s="361">
        <f>M12/M7</f>
        <v>0.09670143783478996</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403</v>
      </c>
      <c r="M16" s="360">
        <f>'[7]M6 Tong hop Viec CHV '!$H$12+'[7]M6 Tong hop Viec CHV '!$I$12+'[7]M6 Tong hop Viec CHV '!$K$12</f>
        <v>749</v>
      </c>
      <c r="N16" s="355"/>
      <c r="O16" s="355"/>
      <c r="P16" s="352"/>
      <c r="R16" s="346"/>
    </row>
    <row r="17" spans="11:18" ht="24.75" customHeight="1">
      <c r="K17" s="349"/>
      <c r="L17" s="367" t="s">
        <v>404</v>
      </c>
      <c r="M17" s="362">
        <f>M16/M8</f>
        <v>0.5030221625251847</v>
      </c>
      <c r="N17" s="355"/>
      <c r="O17" s="355"/>
      <c r="P17" s="352"/>
      <c r="R17" s="346"/>
    </row>
    <row r="18" spans="11:18" ht="26.25" customHeight="1">
      <c r="K18" s="349"/>
      <c r="L18" s="367" t="s">
        <v>383</v>
      </c>
      <c r="M18" s="368">
        <f>M13-M17</f>
        <v>-0.40632072469039476</v>
      </c>
      <c r="N18" s="355"/>
      <c r="O18" s="355"/>
      <c r="P18" s="352"/>
      <c r="R18" s="346"/>
    </row>
    <row r="19" spans="11:18" ht="24.75" customHeight="1">
      <c r="K19" s="349"/>
      <c r="L19" s="354" t="s">
        <v>405</v>
      </c>
      <c r="M19" s="355">
        <f>'06'!J11</f>
        <v>656</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406</v>
      </c>
      <c r="M26" s="361">
        <f>M19/'06'!I11</f>
        <v>0.15287811698904685</v>
      </c>
      <c r="N26" s="355"/>
      <c r="O26" s="355"/>
      <c r="P26" s="352"/>
      <c r="R26" s="346"/>
    </row>
    <row r="27" spans="11:18" ht="24.75" customHeight="1">
      <c r="K27" s="349"/>
      <c r="L27" s="359" t="s">
        <v>407</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408</v>
      </c>
      <c r="M30" s="361">
        <f>M26-M27</f>
        <v>-0.5197837535145503</v>
      </c>
      <c r="N30" s="355"/>
      <c r="O30" s="355"/>
      <c r="P30" s="352"/>
      <c r="R30" s="346"/>
    </row>
    <row r="31" spans="11:18" ht="24.75" customHeight="1">
      <c r="K31" s="349"/>
      <c r="L31" s="354" t="s">
        <v>409</v>
      </c>
      <c r="M31" s="355" t="e">
        <f>'06'!#REF!</f>
        <v>#REF!</v>
      </c>
      <c r="N31" s="355"/>
      <c r="O31" s="355"/>
      <c r="P31" s="352"/>
      <c r="R31" s="346"/>
    </row>
    <row r="32" spans="11:18" ht="24.75" customHeight="1">
      <c r="K32" s="349"/>
      <c r="L32" s="359" t="s">
        <v>410</v>
      </c>
      <c r="M32" s="360">
        <f>'[7]M6 Tong hop Viec CHV '!$R$12</f>
        <v>719</v>
      </c>
      <c r="N32" s="355"/>
      <c r="O32" s="355"/>
      <c r="P32" s="352"/>
      <c r="R32" s="346"/>
    </row>
    <row r="33" spans="11:18" ht="24.75" customHeight="1">
      <c r="K33" s="349"/>
      <c r="L33" s="367" t="s">
        <v>411</v>
      </c>
      <c r="M33" s="369" t="e">
        <f>M31-M32</f>
        <v>#REF!</v>
      </c>
      <c r="N33" s="369" t="s">
        <v>384</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386</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412</v>
      </c>
      <c r="M42" s="355">
        <f>'07'!C11</f>
        <v>2350097951</v>
      </c>
      <c r="N42" s="355"/>
      <c r="O42" s="355"/>
      <c r="P42" s="346"/>
      <c r="R42" s="346"/>
    </row>
    <row r="43" spans="11:18" ht="24.75" customHeight="1">
      <c r="K43" s="349"/>
      <c r="L43" s="363" t="s">
        <v>100</v>
      </c>
      <c r="M43" s="355">
        <f>'07'!D11</f>
        <v>2230252665</v>
      </c>
      <c r="N43" s="355"/>
      <c r="O43" s="355"/>
      <c r="P43" s="346"/>
      <c r="R43" s="346"/>
    </row>
    <row r="44" spans="11:18" ht="24.75" customHeight="1">
      <c r="K44" s="349"/>
      <c r="L44" s="363" t="s">
        <v>380</v>
      </c>
      <c r="M44" s="355">
        <f>'07'!E11</f>
        <v>119845286</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413</v>
      </c>
      <c r="M47" s="355">
        <f>'07'!F11</f>
        <v>885545</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414</v>
      </c>
      <c r="M50" s="355">
        <f>'07'!H11</f>
        <v>2349212406</v>
      </c>
      <c r="N50" s="355"/>
      <c r="O50" s="355"/>
      <c r="P50" s="346"/>
      <c r="R50" s="346"/>
    </row>
    <row r="51" spans="11:18" ht="24.75" customHeight="1">
      <c r="K51" s="349"/>
      <c r="L51" s="364" t="s">
        <v>415</v>
      </c>
      <c r="M51" s="360">
        <f>'[7]M7 Thop tien CHV'!$C$12</f>
        <v>54227822.442</v>
      </c>
      <c r="N51" s="355"/>
      <c r="O51" s="355"/>
      <c r="P51" s="346"/>
      <c r="R51" s="346"/>
    </row>
    <row r="52" spans="11:18" ht="24.75" customHeight="1">
      <c r="K52" s="349"/>
      <c r="L52" s="377" t="s">
        <v>387</v>
      </c>
      <c r="M52" s="369">
        <f>M50-M51</f>
        <v>2294984583.558</v>
      </c>
      <c r="N52" s="355"/>
      <c r="O52" s="355"/>
      <c r="P52" s="346"/>
      <c r="R52" s="346"/>
    </row>
    <row r="53" spans="11:18" ht="24.75" customHeight="1">
      <c r="K53" s="349"/>
      <c r="L53" s="377" t="s">
        <v>388</v>
      </c>
      <c r="M53" s="368">
        <f>(M52/M51)</f>
        <v>42.3211643066182</v>
      </c>
      <c r="N53" s="355"/>
      <c r="O53" s="355"/>
      <c r="P53" s="346"/>
      <c r="R53" s="346"/>
    </row>
    <row r="54" spans="11:18" ht="24.75" customHeight="1">
      <c r="K54" s="349"/>
      <c r="L54" s="363" t="s">
        <v>416</v>
      </c>
      <c r="M54" s="355">
        <f>'07'!I11</f>
        <v>823411130.591</v>
      </c>
      <c r="N54" s="355" t="s">
        <v>389</v>
      </c>
      <c r="O54" s="361">
        <f>'07'!I11/'07'!H11</f>
        <v>0.35050518569030575</v>
      </c>
      <c r="P54" s="346"/>
      <c r="R54" s="346"/>
    </row>
    <row r="55" spans="11:18" ht="24.75" customHeight="1">
      <c r="K55" s="349"/>
      <c r="L55" s="363" t="s">
        <v>417</v>
      </c>
      <c r="M55" s="355">
        <f>'07'!R11</f>
        <v>1525801275.409</v>
      </c>
      <c r="N55" s="355" t="s">
        <v>389</v>
      </c>
      <c r="O55" s="361">
        <f>'07'!R11/'07'!H11</f>
        <v>0.6494948143096942</v>
      </c>
      <c r="P55" s="346"/>
      <c r="R55" s="346"/>
    </row>
    <row r="56" spans="11:18" ht="24.75" customHeight="1">
      <c r="K56" s="349"/>
      <c r="L56" s="363" t="s">
        <v>418</v>
      </c>
      <c r="M56" s="355">
        <f>'07'!J11+'07'!K11+'07'!L11</f>
        <v>50935358</v>
      </c>
      <c r="N56" s="355" t="s">
        <v>389</v>
      </c>
      <c r="O56" s="361">
        <f>M56/'07'!H11</f>
        <v>0.021681887031546693</v>
      </c>
      <c r="P56" s="346"/>
      <c r="R56" s="346"/>
    </row>
    <row r="57" spans="11:18" ht="24.75" customHeight="1">
      <c r="K57" s="349"/>
      <c r="L57" s="364" t="s">
        <v>419</v>
      </c>
      <c r="M57" s="360">
        <f>'[7]M7 Thop tien CHV'!$H$12+'[7]M7 Thop tien CHV'!$I$12+'[7]M7 Thop tien CHV'!$K$12</f>
        <v>2217726.5</v>
      </c>
      <c r="N57" s="360" t="s">
        <v>389</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420</v>
      </c>
      <c r="M60" s="368">
        <f>O56-O57</f>
        <v>-0.019214582716468642</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421</v>
      </c>
      <c r="M63" s="355">
        <f>'07'!J11</f>
        <v>20440667</v>
      </c>
      <c r="N63" s="355" t="s">
        <v>390</v>
      </c>
      <c r="O63" s="361">
        <f>'07'!J11/'07'!I11</f>
        <v>0.024824375382597505</v>
      </c>
      <c r="P63" s="346"/>
      <c r="R63" s="346"/>
    </row>
    <row r="64" spans="11:16" ht="24.75" customHeight="1">
      <c r="K64" s="349"/>
      <c r="L64" s="364" t="s">
        <v>422</v>
      </c>
      <c r="M64" s="360">
        <f>'[7]M7 Thop tien CHV'!$H$12</f>
        <v>2212774.5</v>
      </c>
      <c r="N64" s="360" t="s">
        <v>391</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423</v>
      </c>
      <c r="M68" s="368">
        <f>O63-O64</f>
        <v>0.01058087406278385</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424</v>
      </c>
      <c r="M72" s="355">
        <f>'07'!S11</f>
        <v>2298277048</v>
      </c>
      <c r="N72" s="355"/>
      <c r="O72" s="355"/>
      <c r="P72" s="346"/>
    </row>
    <row r="73" spans="11:16" ht="24.75" customHeight="1">
      <c r="K73" s="349"/>
      <c r="L73" s="364" t="s">
        <v>425</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392</v>
      </c>
      <c r="M76" s="369">
        <f>M72-M73</f>
        <v>2250150237.638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393</v>
      </c>
      <c r="M79" s="368">
        <f>M76/M73</f>
        <v>46.75460976351499</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00390625" defaultRowHeight="15.75"/>
  <cols>
    <col min="1" max="1" width="23.50390625" style="0" customWidth="1"/>
    <col min="2" max="2" width="66.125" style="0" customWidth="1"/>
  </cols>
  <sheetData>
    <row r="2" spans="1:2" ht="62.25" customHeight="1">
      <c r="A2" s="851" t="s">
        <v>440</v>
      </c>
      <c r="B2" s="851"/>
    </row>
    <row r="3" spans="1:2" ht="22.5" customHeight="1">
      <c r="A3" s="407" t="s">
        <v>427</v>
      </c>
      <c r="B3" s="408" t="s">
        <v>572</v>
      </c>
    </row>
    <row r="4" spans="1:2" ht="22.5" customHeight="1">
      <c r="A4" s="407" t="s">
        <v>426</v>
      </c>
      <c r="B4" s="408" t="s">
        <v>442</v>
      </c>
    </row>
    <row r="5" spans="1:2" ht="22.5" customHeight="1">
      <c r="A5" s="407" t="s">
        <v>428</v>
      </c>
      <c r="B5" s="425" t="s">
        <v>443</v>
      </c>
    </row>
    <row r="6" spans="1:2" ht="22.5" customHeight="1">
      <c r="A6" s="407" t="s">
        <v>429</v>
      </c>
      <c r="B6" s="425" t="s">
        <v>444</v>
      </c>
    </row>
    <row r="7" spans="1:2" ht="22.5" customHeight="1">
      <c r="A7" s="407" t="s">
        <v>430</v>
      </c>
      <c r="B7" s="425" t="s">
        <v>395</v>
      </c>
    </row>
    <row r="8" spans="1:2" ht="15.75">
      <c r="A8" s="409" t="s">
        <v>431</v>
      </c>
      <c r="B8" s="459" t="s">
        <v>573</v>
      </c>
    </row>
    <row r="10" spans="1:2" ht="62.25" customHeight="1">
      <c r="A10" s="852" t="s">
        <v>441</v>
      </c>
      <c r="B10" s="852"/>
    </row>
    <row r="11" spans="1:2" ht="15.75">
      <c r="A11" s="853" t="s">
        <v>439</v>
      </c>
      <c r="B11" s="853"/>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S104"/>
  <sheetViews>
    <sheetView showZeros="0" tabSelected="1" zoomScale="110" zoomScaleNormal="110" zoomScaleSheetLayoutView="100" workbookViewId="0" topLeftCell="A10">
      <selection activeCell="Q12" sqref="Q12"/>
    </sheetView>
  </sheetViews>
  <sheetFormatPr defaultColWidth="9.00390625" defaultRowHeight="15.75"/>
  <cols>
    <col min="1" max="1" width="3.50390625" style="23" customWidth="1"/>
    <col min="2" max="2" width="20.7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7.625" style="23" customWidth="1"/>
    <col min="11" max="11" width="6.25390625" style="23" customWidth="1"/>
    <col min="12" max="12" width="7.375" style="23" customWidth="1"/>
    <col min="13" max="13" width="5.875" style="23" customWidth="1"/>
    <col min="14" max="14" width="8.625" style="23" customWidth="1"/>
    <col min="15" max="15" width="6.125" style="23" customWidth="1"/>
    <col min="16" max="16" width="7.25390625" style="23" customWidth="1"/>
    <col min="17" max="18" width="7.50390625" style="23" customWidth="1"/>
    <col min="19" max="19" width="8.625" style="23" customWidth="1"/>
    <col min="20" max="16384" width="9.00390625" style="23" customWidth="1"/>
  </cols>
  <sheetData>
    <row r="1" spans="1:19" ht="20.25" customHeight="1">
      <c r="A1" s="388" t="s">
        <v>27</v>
      </c>
      <c r="B1" s="388"/>
      <c r="C1" s="388"/>
      <c r="E1" s="869" t="s">
        <v>66</v>
      </c>
      <c r="F1" s="869"/>
      <c r="G1" s="869"/>
      <c r="H1" s="869"/>
      <c r="I1" s="869"/>
      <c r="J1" s="869"/>
      <c r="K1" s="869"/>
      <c r="L1" s="869"/>
      <c r="M1" s="869"/>
      <c r="N1" s="869"/>
      <c r="O1" s="869"/>
      <c r="P1" s="379" t="s">
        <v>433</v>
      </c>
      <c r="Q1" s="379"/>
      <c r="R1" s="379"/>
      <c r="S1" s="379"/>
    </row>
    <row r="2" spans="1:19" ht="17.25" customHeight="1">
      <c r="A2" s="875" t="s">
        <v>244</v>
      </c>
      <c r="B2" s="875"/>
      <c r="C2" s="875"/>
      <c r="D2" s="875"/>
      <c r="E2" s="870" t="s">
        <v>34</v>
      </c>
      <c r="F2" s="870"/>
      <c r="G2" s="870"/>
      <c r="H2" s="870"/>
      <c r="I2" s="870"/>
      <c r="J2" s="870"/>
      <c r="K2" s="870"/>
      <c r="L2" s="870"/>
      <c r="M2" s="870"/>
      <c r="N2" s="870"/>
      <c r="O2" s="870"/>
      <c r="P2" s="873" t="str">
        <f>'Thong tin'!B4</f>
        <v>Cục Thi hành án dân sự tỉnh Lâm Đồng </v>
      </c>
      <c r="Q2" s="873"/>
      <c r="R2" s="873"/>
      <c r="S2" s="873"/>
    </row>
    <row r="3" spans="1:19" ht="19.5" customHeight="1">
      <c r="A3" s="875" t="s">
        <v>245</v>
      </c>
      <c r="B3" s="875"/>
      <c r="C3" s="875"/>
      <c r="D3" s="875"/>
      <c r="E3" s="871" t="str">
        <f>'Thong tin'!B3</f>
        <v>02 tháng / năm 2018</v>
      </c>
      <c r="F3" s="871"/>
      <c r="G3" s="871"/>
      <c r="H3" s="871"/>
      <c r="I3" s="871"/>
      <c r="J3" s="871"/>
      <c r="K3" s="871"/>
      <c r="L3" s="871"/>
      <c r="M3" s="871"/>
      <c r="N3" s="871"/>
      <c r="O3" s="871"/>
      <c r="P3" s="379" t="s">
        <v>434</v>
      </c>
      <c r="Q3" s="388"/>
      <c r="R3" s="388"/>
      <c r="S3" s="379"/>
    </row>
    <row r="4" spans="1:19" ht="14.25" customHeight="1">
      <c r="A4" s="382" t="s">
        <v>124</v>
      </c>
      <c r="B4" s="388"/>
      <c r="C4" s="388"/>
      <c r="D4" s="388"/>
      <c r="E4" s="388"/>
      <c r="F4" s="388"/>
      <c r="G4" s="388"/>
      <c r="H4" s="388"/>
      <c r="I4" s="388"/>
      <c r="J4" s="388"/>
      <c r="K4" s="388"/>
      <c r="L4" s="388"/>
      <c r="M4" s="388"/>
      <c r="N4" s="392"/>
      <c r="O4" s="392"/>
      <c r="P4" s="876" t="s">
        <v>307</v>
      </c>
      <c r="Q4" s="876"/>
      <c r="R4" s="876"/>
      <c r="S4" s="876"/>
    </row>
    <row r="5" spans="2:19" ht="21.75" customHeight="1">
      <c r="B5" s="386"/>
      <c r="C5" s="386"/>
      <c r="Q5" s="393" t="s">
        <v>574</v>
      </c>
      <c r="R5" s="393"/>
      <c r="S5" s="394"/>
    </row>
    <row r="6" spans="1:19" ht="19.5" customHeight="1">
      <c r="A6" s="859" t="s">
        <v>57</v>
      </c>
      <c r="B6" s="859"/>
      <c r="C6" s="874" t="s">
        <v>125</v>
      </c>
      <c r="D6" s="874"/>
      <c r="E6" s="874"/>
      <c r="F6" s="860" t="s">
        <v>101</v>
      </c>
      <c r="G6" s="860" t="s">
        <v>126</v>
      </c>
      <c r="H6" s="872" t="s">
        <v>102</v>
      </c>
      <c r="I6" s="872"/>
      <c r="J6" s="872"/>
      <c r="K6" s="872"/>
      <c r="L6" s="872"/>
      <c r="M6" s="872"/>
      <c r="N6" s="872"/>
      <c r="O6" s="872"/>
      <c r="P6" s="872"/>
      <c r="Q6" s="872"/>
      <c r="R6" s="874" t="s">
        <v>249</v>
      </c>
      <c r="S6" s="874" t="s">
        <v>436</v>
      </c>
    </row>
    <row r="7" spans="1:19" s="379" customFormat="1" ht="27" customHeight="1">
      <c r="A7" s="859"/>
      <c r="B7" s="859"/>
      <c r="C7" s="874" t="s">
        <v>42</v>
      </c>
      <c r="D7" s="862" t="s">
        <v>7</v>
      </c>
      <c r="E7" s="862"/>
      <c r="F7" s="860"/>
      <c r="G7" s="860"/>
      <c r="H7" s="860" t="s">
        <v>102</v>
      </c>
      <c r="I7" s="874" t="s">
        <v>103</v>
      </c>
      <c r="J7" s="874"/>
      <c r="K7" s="874"/>
      <c r="L7" s="874"/>
      <c r="M7" s="874"/>
      <c r="N7" s="874"/>
      <c r="O7" s="874"/>
      <c r="P7" s="874"/>
      <c r="Q7" s="860" t="s">
        <v>112</v>
      </c>
      <c r="R7" s="874"/>
      <c r="S7" s="874"/>
    </row>
    <row r="8" spans="1:19" ht="21.75" customHeight="1">
      <c r="A8" s="859"/>
      <c r="B8" s="859"/>
      <c r="C8" s="874"/>
      <c r="D8" s="862" t="s">
        <v>128</v>
      </c>
      <c r="E8" s="862" t="s">
        <v>129</v>
      </c>
      <c r="F8" s="860"/>
      <c r="G8" s="860"/>
      <c r="H8" s="860"/>
      <c r="I8" s="860" t="s">
        <v>435</v>
      </c>
      <c r="J8" s="862" t="s">
        <v>7</v>
      </c>
      <c r="K8" s="862"/>
      <c r="L8" s="862"/>
      <c r="M8" s="862"/>
      <c r="N8" s="862"/>
      <c r="O8" s="862"/>
      <c r="P8" s="862"/>
      <c r="Q8" s="860"/>
      <c r="R8" s="874"/>
      <c r="S8" s="874"/>
    </row>
    <row r="9" spans="1:19" ht="79.5" customHeight="1">
      <c r="A9" s="859"/>
      <c r="B9" s="859"/>
      <c r="C9" s="874"/>
      <c r="D9" s="862"/>
      <c r="E9" s="862"/>
      <c r="F9" s="860"/>
      <c r="G9" s="860"/>
      <c r="H9" s="860"/>
      <c r="I9" s="860"/>
      <c r="J9" s="395" t="s">
        <v>130</v>
      </c>
      <c r="K9" s="395" t="s">
        <v>131</v>
      </c>
      <c r="L9" s="396" t="s">
        <v>105</v>
      </c>
      <c r="M9" s="396" t="s">
        <v>132</v>
      </c>
      <c r="N9" s="396" t="s">
        <v>108</v>
      </c>
      <c r="O9" s="396" t="s">
        <v>250</v>
      </c>
      <c r="P9" s="396" t="s">
        <v>111</v>
      </c>
      <c r="Q9" s="860"/>
      <c r="R9" s="874"/>
      <c r="S9" s="874"/>
    </row>
    <row r="10" spans="1:19" ht="20.25" customHeight="1">
      <c r="A10" s="854" t="s">
        <v>6</v>
      </c>
      <c r="B10" s="855"/>
      <c r="C10" s="397">
        <v>1</v>
      </c>
      <c r="D10" s="397">
        <v>2</v>
      </c>
      <c r="E10" s="397">
        <v>3</v>
      </c>
      <c r="F10" s="397">
        <v>4</v>
      </c>
      <c r="G10" s="397">
        <v>5</v>
      </c>
      <c r="H10" s="397">
        <v>6</v>
      </c>
      <c r="I10" s="397">
        <v>7</v>
      </c>
      <c r="J10" s="397">
        <v>8</v>
      </c>
      <c r="K10" s="397">
        <v>9</v>
      </c>
      <c r="L10" s="397">
        <v>10</v>
      </c>
      <c r="M10" s="397">
        <v>11</v>
      </c>
      <c r="N10" s="397">
        <v>12</v>
      </c>
      <c r="O10" s="397">
        <v>13</v>
      </c>
      <c r="P10" s="397">
        <v>14</v>
      </c>
      <c r="Q10" s="397">
        <v>15</v>
      </c>
      <c r="R10" s="397"/>
      <c r="S10" s="397">
        <v>17</v>
      </c>
    </row>
    <row r="11" spans="1:19" ht="20.25" customHeight="1">
      <c r="A11" s="857" t="s">
        <v>30</v>
      </c>
      <c r="B11" s="858"/>
      <c r="C11" s="453">
        <f aca="true" t="shared" si="0" ref="C11:K11">C13+C27</f>
        <v>7102</v>
      </c>
      <c r="D11" s="453">
        <f>D13+D27</f>
        <v>5727</v>
      </c>
      <c r="E11" s="453">
        <f>E13+E27</f>
        <v>1375</v>
      </c>
      <c r="F11" s="453">
        <f t="shared" si="0"/>
        <v>8</v>
      </c>
      <c r="G11" s="453">
        <f t="shared" si="0"/>
        <v>0</v>
      </c>
      <c r="H11" s="453">
        <f t="shared" si="0"/>
        <v>7094</v>
      </c>
      <c r="I11" s="453">
        <f t="shared" si="0"/>
        <v>4291</v>
      </c>
      <c r="J11" s="453">
        <f t="shared" si="0"/>
        <v>656</v>
      </c>
      <c r="K11" s="453">
        <f t="shared" si="0"/>
        <v>30</v>
      </c>
      <c r="L11" s="453">
        <f>I11-J11-K11-M11-N11-O11-P11</f>
        <v>3527</v>
      </c>
      <c r="M11" s="453">
        <f aca="true" t="shared" si="1" ref="M11:R11">M13+M27</f>
        <v>39</v>
      </c>
      <c r="N11" s="453">
        <f t="shared" si="1"/>
        <v>13</v>
      </c>
      <c r="O11" s="453">
        <f t="shared" si="1"/>
        <v>0</v>
      </c>
      <c r="P11" s="453">
        <f t="shared" si="1"/>
        <v>26</v>
      </c>
      <c r="Q11" s="453">
        <f t="shared" si="1"/>
        <v>2803</v>
      </c>
      <c r="R11" s="453">
        <f t="shared" si="1"/>
        <v>6408</v>
      </c>
      <c r="S11" s="460">
        <f>(J11+K11)/I11</f>
        <v>0.1598694942903752</v>
      </c>
    </row>
    <row r="12" spans="1:19" ht="20.25" customHeight="1">
      <c r="A12" s="449"/>
      <c r="B12" s="451"/>
      <c r="C12" s="454">
        <f aca="true" t="shared" si="2" ref="C12:C94">D12+E12</f>
        <v>0</v>
      </c>
      <c r="D12" s="453"/>
      <c r="E12" s="453"/>
      <c r="F12" s="453"/>
      <c r="G12" s="453"/>
      <c r="H12" s="454">
        <f>C12-F12</f>
        <v>0</v>
      </c>
      <c r="I12" s="454">
        <f>H12-Q12</f>
        <v>0</v>
      </c>
      <c r="J12" s="453"/>
      <c r="K12" s="453"/>
      <c r="L12" s="457">
        <f>I12-J12-K12-M12-N12-O12-P12</f>
        <v>0</v>
      </c>
      <c r="M12" s="453"/>
      <c r="N12" s="453"/>
      <c r="O12" s="453"/>
      <c r="P12" s="453"/>
      <c r="Q12" s="453"/>
      <c r="R12" s="550">
        <f aca="true" t="shared" si="3" ref="R12:R75">H12-J12-K12</f>
        <v>0</v>
      </c>
      <c r="S12" s="460"/>
    </row>
    <row r="13" spans="1:19" ht="20.25" customHeight="1">
      <c r="A13" s="426" t="s">
        <v>0</v>
      </c>
      <c r="B13" s="427" t="s">
        <v>446</v>
      </c>
      <c r="C13" s="470">
        <f>C14+C15+C16+C17+C18+C19+C20+C21+C22+C23+C24+C25+C26</f>
        <v>131</v>
      </c>
      <c r="D13" s="470">
        <f aca="true" t="shared" si="4" ref="D13:Q13">D14+D15+D16+D17+D18+D19+D20+D21+D22+D23+D24+D25+D26</f>
        <v>93</v>
      </c>
      <c r="E13" s="470">
        <f t="shared" si="4"/>
        <v>38</v>
      </c>
      <c r="F13" s="470">
        <f t="shared" si="4"/>
        <v>0</v>
      </c>
      <c r="G13" s="470">
        <f t="shared" si="4"/>
        <v>0</v>
      </c>
      <c r="H13" s="470">
        <f t="shared" si="4"/>
        <v>131</v>
      </c>
      <c r="I13" s="470">
        <f t="shared" si="4"/>
        <v>85</v>
      </c>
      <c r="J13" s="470">
        <f t="shared" si="4"/>
        <v>16</v>
      </c>
      <c r="K13" s="470">
        <f t="shared" si="4"/>
        <v>0</v>
      </c>
      <c r="L13" s="470">
        <f t="shared" si="4"/>
        <v>67</v>
      </c>
      <c r="M13" s="470">
        <f t="shared" si="4"/>
        <v>0</v>
      </c>
      <c r="N13" s="470">
        <f t="shared" si="4"/>
        <v>0</v>
      </c>
      <c r="O13" s="470">
        <f t="shared" si="4"/>
        <v>0</v>
      </c>
      <c r="P13" s="470">
        <f t="shared" si="4"/>
        <v>2</v>
      </c>
      <c r="Q13" s="470">
        <f t="shared" si="4"/>
        <v>46</v>
      </c>
      <c r="R13" s="550">
        <f t="shared" si="3"/>
        <v>115</v>
      </c>
      <c r="S13" s="460">
        <f aca="true" t="shared" si="5" ref="S13:S75">(J13+K13)/I13</f>
        <v>0.18823529411764706</v>
      </c>
    </row>
    <row r="14" spans="1:19" ht="20.25" customHeight="1">
      <c r="A14" s="428" t="s">
        <v>43</v>
      </c>
      <c r="B14" s="429" t="s">
        <v>444</v>
      </c>
      <c r="C14" s="471">
        <f t="shared" si="2"/>
        <v>4</v>
      </c>
      <c r="D14" s="472">
        <v>1</v>
      </c>
      <c r="E14" s="472">
        <f>'[18]06'!$E$14</f>
        <v>3</v>
      </c>
      <c r="F14" s="472">
        <f>'[18]06'!$F$14</f>
        <v>0</v>
      </c>
      <c r="G14" s="472"/>
      <c r="H14" s="471">
        <f>C14-F14</f>
        <v>4</v>
      </c>
      <c r="I14" s="471">
        <f>H14-Q14</f>
        <v>4</v>
      </c>
      <c r="J14" s="472">
        <f>'[18]06'!$J$14</f>
        <v>0</v>
      </c>
      <c r="K14" s="472">
        <f>'[18]06'!$K$14</f>
        <v>0</v>
      </c>
      <c r="L14" s="473">
        <f>I14-J14-K14-M14-N14-O14-P14</f>
        <v>4</v>
      </c>
      <c r="M14" s="472">
        <f>'[18]06'!$M$14</f>
        <v>0</v>
      </c>
      <c r="N14" s="472">
        <f>'[18]06'!$N$14</f>
        <v>0</v>
      </c>
      <c r="O14" s="472">
        <f>'[18]06'!$O$14</f>
        <v>0</v>
      </c>
      <c r="P14" s="472">
        <f>'[18]06'!$P$14</f>
        <v>0</v>
      </c>
      <c r="Q14" s="474">
        <f>'[18]06'!$Q$14</f>
        <v>0</v>
      </c>
      <c r="R14" s="550">
        <f t="shared" si="3"/>
        <v>4</v>
      </c>
      <c r="S14" s="460">
        <f t="shared" si="5"/>
        <v>0</v>
      </c>
    </row>
    <row r="15" spans="1:19" ht="20.25" customHeight="1">
      <c r="A15" s="428" t="s">
        <v>44</v>
      </c>
      <c r="B15" s="429" t="s">
        <v>447</v>
      </c>
      <c r="C15" s="471">
        <f t="shared" si="2"/>
        <v>13</v>
      </c>
      <c r="D15" s="472">
        <v>8</v>
      </c>
      <c r="E15" s="472">
        <f>'[18]06'!$E$15</f>
        <v>5</v>
      </c>
      <c r="F15" s="472">
        <f>'[18]06'!$F$15</f>
        <v>0</v>
      </c>
      <c r="G15" s="472"/>
      <c r="H15" s="471">
        <f aca="true" t="shared" si="6" ref="H15:H77">C15-F15</f>
        <v>13</v>
      </c>
      <c r="I15" s="471">
        <f aca="true" t="shared" si="7" ref="I15:I94">H15-Q15</f>
        <v>7</v>
      </c>
      <c r="J15" s="472">
        <f>'[18]06'!$J$15</f>
        <v>3</v>
      </c>
      <c r="K15" s="472">
        <f>'[18]06'!$K$15</f>
        <v>0</v>
      </c>
      <c r="L15" s="473">
        <f aca="true" t="shared" si="8" ref="L15:L23">I15-J15-K15-M15-N15-O15-P15</f>
        <v>4</v>
      </c>
      <c r="M15" s="472">
        <f>'[18]06'!$M$15</f>
        <v>0</v>
      </c>
      <c r="N15" s="472">
        <f>'[18]06'!$N$15</f>
        <v>0</v>
      </c>
      <c r="O15" s="472">
        <f>'[18]06'!$O$15</f>
        <v>0</v>
      </c>
      <c r="P15" s="472">
        <f>'[18]06'!$P$15</f>
        <v>0</v>
      </c>
      <c r="Q15" s="474">
        <f>'[18]06'!$Q$15</f>
        <v>6</v>
      </c>
      <c r="R15" s="550">
        <f t="shared" si="3"/>
        <v>10</v>
      </c>
      <c r="S15" s="460">
        <f t="shared" si="5"/>
        <v>0.42857142857142855</v>
      </c>
    </row>
    <row r="16" spans="1:19" ht="20.25" customHeight="1">
      <c r="A16" s="428" t="s">
        <v>49</v>
      </c>
      <c r="B16" s="429" t="s">
        <v>448</v>
      </c>
      <c r="C16" s="471">
        <f t="shared" si="2"/>
        <v>12</v>
      </c>
      <c r="D16" s="472">
        <v>9</v>
      </c>
      <c r="E16" s="472">
        <f>'[18]06'!$E$16</f>
        <v>3</v>
      </c>
      <c r="F16" s="472">
        <f>'[18]06'!$F$16</f>
        <v>0</v>
      </c>
      <c r="G16" s="472"/>
      <c r="H16" s="471">
        <f t="shared" si="6"/>
        <v>12</v>
      </c>
      <c r="I16" s="471">
        <f t="shared" si="7"/>
        <v>5</v>
      </c>
      <c r="J16" s="472">
        <f>'[18]06'!$J$16</f>
        <v>1</v>
      </c>
      <c r="K16" s="472">
        <f>'[18]06'!$K$16</f>
        <v>0</v>
      </c>
      <c r="L16" s="473">
        <f t="shared" si="8"/>
        <v>4</v>
      </c>
      <c r="M16" s="472">
        <f>'[18]06'!$M$16</f>
        <v>0</v>
      </c>
      <c r="N16" s="472">
        <f>'[18]06'!$N$16</f>
        <v>0</v>
      </c>
      <c r="O16" s="472">
        <f>'[18]06'!$O$16</f>
        <v>0</v>
      </c>
      <c r="P16" s="472">
        <f>'[18]06'!$P$16</f>
        <v>0</v>
      </c>
      <c r="Q16" s="474">
        <f>'[18]06'!$Q$16</f>
        <v>7</v>
      </c>
      <c r="R16" s="550">
        <f t="shared" si="3"/>
        <v>11</v>
      </c>
      <c r="S16" s="460">
        <f t="shared" si="5"/>
        <v>0.2</v>
      </c>
    </row>
    <row r="17" spans="1:19" ht="20.25" customHeight="1">
      <c r="A17" s="428" t="s">
        <v>58</v>
      </c>
      <c r="B17" s="429" t="s">
        <v>552</v>
      </c>
      <c r="C17" s="471">
        <f t="shared" si="2"/>
        <v>3</v>
      </c>
      <c r="D17" s="472">
        <v>2</v>
      </c>
      <c r="E17" s="472">
        <f>'[18]06'!$E$17</f>
        <v>1</v>
      </c>
      <c r="F17" s="472">
        <f>'[18]06'!$F$17</f>
        <v>0</v>
      </c>
      <c r="G17" s="472"/>
      <c r="H17" s="471">
        <f t="shared" si="6"/>
        <v>3</v>
      </c>
      <c r="I17" s="471">
        <f t="shared" si="7"/>
        <v>2</v>
      </c>
      <c r="J17" s="472">
        <f>'[18]06'!$J$17</f>
        <v>0</v>
      </c>
      <c r="K17" s="472">
        <f>'[18]06'!$K$17</f>
        <v>0</v>
      </c>
      <c r="L17" s="473">
        <f t="shared" si="8"/>
        <v>2</v>
      </c>
      <c r="M17" s="472">
        <f>'[18]06'!$M$17</f>
        <v>0</v>
      </c>
      <c r="N17" s="472">
        <f>'[18]06'!$N$17</f>
        <v>0</v>
      </c>
      <c r="O17" s="472">
        <f>'[18]06'!$O$17</f>
        <v>0</v>
      </c>
      <c r="P17" s="472">
        <f>'[18]06'!$P$17</f>
        <v>0</v>
      </c>
      <c r="Q17" s="474">
        <f>'[18]06'!$Q$17</f>
        <v>1</v>
      </c>
      <c r="R17" s="550">
        <f t="shared" si="3"/>
        <v>3</v>
      </c>
      <c r="S17" s="460">
        <f t="shared" si="5"/>
        <v>0</v>
      </c>
    </row>
    <row r="18" spans="1:19" ht="20.25" customHeight="1">
      <c r="A18" s="428" t="s">
        <v>59</v>
      </c>
      <c r="B18" s="429" t="s">
        <v>449</v>
      </c>
      <c r="C18" s="471">
        <f t="shared" si="2"/>
        <v>1</v>
      </c>
      <c r="D18" s="472">
        <v>0</v>
      </c>
      <c r="E18" s="472">
        <f>'[18]06'!$E$18</f>
        <v>1</v>
      </c>
      <c r="F18" s="472">
        <f>'[18]06'!$F$18</f>
        <v>0</v>
      </c>
      <c r="G18" s="472"/>
      <c r="H18" s="471">
        <f t="shared" si="6"/>
        <v>1</v>
      </c>
      <c r="I18" s="471">
        <f t="shared" si="7"/>
        <v>1</v>
      </c>
      <c r="J18" s="472">
        <f>'[18]06'!$J$18</f>
        <v>0</v>
      </c>
      <c r="K18" s="472">
        <f>'[18]06'!$K$18</f>
        <v>0</v>
      </c>
      <c r="L18" s="473">
        <f t="shared" si="8"/>
        <v>1</v>
      </c>
      <c r="M18" s="472">
        <f>'[18]06'!$M$18</f>
        <v>0</v>
      </c>
      <c r="N18" s="472">
        <f>'[18]06'!$N$18</f>
        <v>0</v>
      </c>
      <c r="O18" s="472">
        <f>'[18]06'!$O$18</f>
        <v>0</v>
      </c>
      <c r="P18" s="472">
        <f>'[18]06'!$P$18</f>
        <v>0</v>
      </c>
      <c r="Q18" s="474">
        <f>'[18]06'!$Q$18</f>
        <v>0</v>
      </c>
      <c r="R18" s="550">
        <f t="shared" si="3"/>
        <v>1</v>
      </c>
      <c r="S18" s="460">
        <f t="shared" si="5"/>
        <v>0</v>
      </c>
    </row>
    <row r="19" spans="1:19" ht="20.25" customHeight="1">
      <c r="A19" s="428" t="s">
        <v>60</v>
      </c>
      <c r="B19" s="429" t="s">
        <v>450</v>
      </c>
      <c r="C19" s="471">
        <f t="shared" si="2"/>
        <v>28</v>
      </c>
      <c r="D19" s="472">
        <v>17</v>
      </c>
      <c r="E19" s="472">
        <f>'[18]06'!$E$19</f>
        <v>11</v>
      </c>
      <c r="F19" s="472">
        <f>'[18]06'!$F$19</f>
        <v>0</v>
      </c>
      <c r="G19" s="472"/>
      <c r="H19" s="471">
        <f t="shared" si="6"/>
        <v>28</v>
      </c>
      <c r="I19" s="471">
        <f t="shared" si="7"/>
        <v>15</v>
      </c>
      <c r="J19" s="472">
        <f>'[18]06'!$J$19</f>
        <v>9</v>
      </c>
      <c r="K19" s="472">
        <f>'[18]06'!$K$19</f>
        <v>0</v>
      </c>
      <c r="L19" s="473">
        <f t="shared" si="8"/>
        <v>6</v>
      </c>
      <c r="M19" s="472">
        <f>'[18]06'!$M$19</f>
        <v>0</v>
      </c>
      <c r="N19" s="472">
        <f>'[18]06'!$N$19</f>
        <v>0</v>
      </c>
      <c r="O19" s="472">
        <f>'[18]06'!$O$19</f>
        <v>0</v>
      </c>
      <c r="P19" s="472">
        <f>'[18]06'!$P$19</f>
        <v>0</v>
      </c>
      <c r="Q19" s="474">
        <f>'[18]06'!$Q$19</f>
        <v>13</v>
      </c>
      <c r="R19" s="550">
        <f t="shared" si="3"/>
        <v>19</v>
      </c>
      <c r="S19" s="460">
        <f t="shared" si="5"/>
        <v>0.6</v>
      </c>
    </row>
    <row r="20" spans="1:19" ht="20.25" customHeight="1">
      <c r="A20" s="428" t="s">
        <v>61</v>
      </c>
      <c r="B20" s="429" t="s">
        <v>451</v>
      </c>
      <c r="C20" s="471">
        <f t="shared" si="2"/>
        <v>21</v>
      </c>
      <c r="D20" s="472">
        <v>14</v>
      </c>
      <c r="E20" s="472">
        <f>'[18]06'!$E$20</f>
        <v>7</v>
      </c>
      <c r="F20" s="472">
        <f>'[18]06'!$F$20</f>
        <v>0</v>
      </c>
      <c r="G20" s="472"/>
      <c r="H20" s="471">
        <f t="shared" si="6"/>
        <v>21</v>
      </c>
      <c r="I20" s="471">
        <f t="shared" si="7"/>
        <v>16</v>
      </c>
      <c r="J20" s="472">
        <f>'[18]06'!$J$20</f>
        <v>0</v>
      </c>
      <c r="K20" s="472">
        <f>'[18]06'!$K$20</f>
        <v>0</v>
      </c>
      <c r="L20" s="473">
        <f t="shared" si="8"/>
        <v>16</v>
      </c>
      <c r="M20" s="472">
        <f>'[18]06'!$M$20</f>
        <v>0</v>
      </c>
      <c r="N20" s="472">
        <f>'[18]06'!$N$20</f>
        <v>0</v>
      </c>
      <c r="O20" s="472">
        <f>'[18]06'!$O$20</f>
        <v>0</v>
      </c>
      <c r="P20" s="472">
        <f>'[18]06'!$P$20</f>
        <v>0</v>
      </c>
      <c r="Q20" s="474">
        <f>'[18]06'!$Q$20</f>
        <v>5</v>
      </c>
      <c r="R20" s="550">
        <f t="shared" si="3"/>
        <v>21</v>
      </c>
      <c r="S20" s="460">
        <f t="shared" si="5"/>
        <v>0</v>
      </c>
    </row>
    <row r="21" spans="1:19" ht="20.25" customHeight="1">
      <c r="A21" s="428" t="s">
        <v>62</v>
      </c>
      <c r="B21" s="429" t="s">
        <v>443</v>
      </c>
      <c r="C21" s="471">
        <f t="shared" si="2"/>
        <v>10</v>
      </c>
      <c r="D21" s="472">
        <v>9</v>
      </c>
      <c r="E21" s="472">
        <f>'[18]06'!$E$21</f>
        <v>1</v>
      </c>
      <c r="F21" s="472">
        <f>'[18]06'!$F$21</f>
        <v>0</v>
      </c>
      <c r="G21" s="472"/>
      <c r="H21" s="471">
        <f t="shared" si="6"/>
        <v>10</v>
      </c>
      <c r="I21" s="471">
        <f t="shared" si="7"/>
        <v>8</v>
      </c>
      <c r="J21" s="472">
        <v>1</v>
      </c>
      <c r="K21" s="472">
        <f>'[18]06'!$K$21</f>
        <v>0</v>
      </c>
      <c r="L21" s="473">
        <f t="shared" si="8"/>
        <v>7</v>
      </c>
      <c r="M21" s="472">
        <f>'[18]06'!$M$21</f>
        <v>0</v>
      </c>
      <c r="N21" s="472">
        <f>'[18]06'!$N$21</f>
        <v>0</v>
      </c>
      <c r="O21" s="472">
        <f>'[18]06'!$O$21</f>
        <v>0</v>
      </c>
      <c r="P21" s="472">
        <f>'[18]06'!$P$21</f>
        <v>0</v>
      </c>
      <c r="Q21" s="474">
        <f>'[18]06'!$Q$21</f>
        <v>2</v>
      </c>
      <c r="R21" s="550">
        <f t="shared" si="3"/>
        <v>9</v>
      </c>
      <c r="S21" s="378">
        <f t="shared" si="5"/>
        <v>0.125</v>
      </c>
    </row>
    <row r="22" spans="1:19" ht="20.25" customHeight="1">
      <c r="A22" s="428" t="s">
        <v>63</v>
      </c>
      <c r="B22" s="429" t="s">
        <v>452</v>
      </c>
      <c r="C22" s="471">
        <f t="shared" si="2"/>
        <v>13</v>
      </c>
      <c r="D22" s="472">
        <v>11</v>
      </c>
      <c r="E22" s="472">
        <f>'[18]06'!$E$22</f>
        <v>2</v>
      </c>
      <c r="F22" s="472">
        <f>'[18]06'!$F$22</f>
        <v>0</v>
      </c>
      <c r="G22" s="472"/>
      <c r="H22" s="471">
        <f t="shared" si="6"/>
        <v>13</v>
      </c>
      <c r="I22" s="471">
        <f t="shared" si="7"/>
        <v>11</v>
      </c>
      <c r="J22" s="472">
        <f>'[18]06'!$J$22</f>
        <v>0</v>
      </c>
      <c r="K22" s="472">
        <f>'[18]06'!$K$22</f>
        <v>0</v>
      </c>
      <c r="L22" s="473">
        <f t="shared" si="8"/>
        <v>11</v>
      </c>
      <c r="M22" s="472">
        <f>'[18]06'!$M$22</f>
        <v>0</v>
      </c>
      <c r="N22" s="472">
        <f>'[18]06'!$N$22</f>
        <v>0</v>
      </c>
      <c r="O22" s="472">
        <f>'[18]06'!$O$22</f>
        <v>0</v>
      </c>
      <c r="P22" s="472">
        <f>'[18]06'!$P$22</f>
        <v>0</v>
      </c>
      <c r="Q22" s="474">
        <f>'[18]06'!$Q$22</f>
        <v>2</v>
      </c>
      <c r="R22" s="550">
        <f t="shared" si="3"/>
        <v>13</v>
      </c>
      <c r="S22" s="378">
        <f t="shared" si="5"/>
        <v>0</v>
      </c>
    </row>
    <row r="23" spans="1:19" ht="20.25" customHeight="1">
      <c r="A23" s="428" t="s">
        <v>83</v>
      </c>
      <c r="B23" s="429" t="s">
        <v>555</v>
      </c>
      <c r="C23" s="471">
        <f t="shared" si="2"/>
        <v>2</v>
      </c>
      <c r="D23" s="472">
        <v>2</v>
      </c>
      <c r="E23" s="472">
        <f>'[18]06'!$E$23</f>
        <v>0</v>
      </c>
      <c r="F23" s="472">
        <f>'[18]06'!$F$23</f>
        <v>0</v>
      </c>
      <c r="G23" s="472"/>
      <c r="H23" s="471">
        <f t="shared" si="6"/>
        <v>2</v>
      </c>
      <c r="I23" s="471">
        <f t="shared" si="7"/>
        <v>2</v>
      </c>
      <c r="J23" s="472">
        <f>'[18]06'!$J$23</f>
        <v>1</v>
      </c>
      <c r="K23" s="472">
        <f>'[18]06'!$K$23</f>
        <v>0</v>
      </c>
      <c r="L23" s="473">
        <f t="shared" si="8"/>
        <v>1</v>
      </c>
      <c r="M23" s="472">
        <f>'[18]06'!$M$23</f>
        <v>0</v>
      </c>
      <c r="N23" s="472">
        <f>'[18]06'!$N$23</f>
        <v>0</v>
      </c>
      <c r="O23" s="472">
        <f>'[18]06'!$O$23</f>
        <v>0</v>
      </c>
      <c r="P23" s="472">
        <f>'[18]06'!$P$23</f>
        <v>0</v>
      </c>
      <c r="Q23" s="474">
        <f>'[18]06'!$Q$23</f>
        <v>0</v>
      </c>
      <c r="R23" s="550">
        <f t="shared" si="3"/>
        <v>1</v>
      </c>
      <c r="S23" s="378">
        <f t="shared" si="5"/>
        <v>0.5</v>
      </c>
    </row>
    <row r="24" spans="1:19" ht="20.25" customHeight="1">
      <c r="A24" s="428" t="s">
        <v>84</v>
      </c>
      <c r="B24" s="429" t="s">
        <v>453</v>
      </c>
      <c r="C24" s="471">
        <f t="shared" si="2"/>
        <v>5</v>
      </c>
      <c r="D24" s="472">
        <v>2</v>
      </c>
      <c r="E24" s="472">
        <f>'[18]06'!$E$24</f>
        <v>3</v>
      </c>
      <c r="F24" s="472">
        <f>'[18]06'!$F$24</f>
        <v>0</v>
      </c>
      <c r="G24" s="472"/>
      <c r="H24" s="471">
        <f t="shared" si="6"/>
        <v>5</v>
      </c>
      <c r="I24" s="471">
        <f t="shared" si="7"/>
        <v>3</v>
      </c>
      <c r="J24" s="472">
        <f>'[18]06'!$J$24</f>
        <v>1</v>
      </c>
      <c r="K24" s="472">
        <f>'[18]06'!$K$24</f>
        <v>0</v>
      </c>
      <c r="L24" s="473">
        <f aca="true" t="shared" si="9" ref="L24:L77">I24-J24-K24-M24-N24-O24-P24</f>
        <v>2</v>
      </c>
      <c r="M24" s="472">
        <f>'[18]06'!$M$24</f>
        <v>0</v>
      </c>
      <c r="N24" s="472">
        <f>'[18]06'!$N$24</f>
        <v>0</v>
      </c>
      <c r="O24" s="472">
        <f>'[18]06'!$O$24</f>
        <v>0</v>
      </c>
      <c r="P24" s="472">
        <f>'[18]06'!$P$24</f>
        <v>0</v>
      </c>
      <c r="Q24" s="474">
        <f>'[18]06'!$Q$24</f>
        <v>2</v>
      </c>
      <c r="R24" s="550">
        <f t="shared" si="3"/>
        <v>4</v>
      </c>
      <c r="S24" s="378">
        <f t="shared" si="5"/>
        <v>0.3333333333333333</v>
      </c>
    </row>
    <row r="25" spans="1:19" ht="20.25" customHeight="1">
      <c r="A25" s="428" t="s">
        <v>85</v>
      </c>
      <c r="B25" s="429" t="s">
        <v>454</v>
      </c>
      <c r="C25" s="471">
        <f t="shared" si="2"/>
        <v>10</v>
      </c>
      <c r="D25" s="472">
        <v>9</v>
      </c>
      <c r="E25" s="472">
        <f>'[18]06'!$E$25</f>
        <v>1</v>
      </c>
      <c r="F25" s="472">
        <f>'[18]06'!$F$25</f>
        <v>0</v>
      </c>
      <c r="G25" s="472"/>
      <c r="H25" s="471">
        <f t="shared" si="6"/>
        <v>10</v>
      </c>
      <c r="I25" s="471">
        <f t="shared" si="7"/>
        <v>6</v>
      </c>
      <c r="J25" s="472">
        <f>'[18]06'!$J$25</f>
        <v>0</v>
      </c>
      <c r="K25" s="472">
        <f>'[18]06'!$K$25</f>
        <v>0</v>
      </c>
      <c r="L25" s="473">
        <f t="shared" si="9"/>
        <v>4</v>
      </c>
      <c r="M25" s="472">
        <f>'[18]06'!$M$25</f>
        <v>0</v>
      </c>
      <c r="N25" s="472">
        <f>'[18]06'!$N$25</f>
        <v>0</v>
      </c>
      <c r="O25" s="475">
        <f>'[18]06'!$O$25</f>
        <v>0</v>
      </c>
      <c r="P25" s="472">
        <f>'[18]06'!$P$25</f>
        <v>2</v>
      </c>
      <c r="Q25" s="474">
        <f>'[18]06'!$Q$25</f>
        <v>4</v>
      </c>
      <c r="R25" s="550">
        <f t="shared" si="3"/>
        <v>10</v>
      </c>
      <c r="S25" s="378">
        <f t="shared" si="5"/>
        <v>0</v>
      </c>
    </row>
    <row r="26" spans="1:19" ht="20.25" customHeight="1">
      <c r="A26" s="428" t="s">
        <v>86</v>
      </c>
      <c r="B26" s="429" t="s">
        <v>455</v>
      </c>
      <c r="C26" s="471">
        <f t="shared" si="2"/>
        <v>9</v>
      </c>
      <c r="D26" s="472">
        <v>9</v>
      </c>
      <c r="E26" s="472">
        <f>'[18]06'!$E$26</f>
        <v>0</v>
      </c>
      <c r="F26" s="472">
        <f>'[18]06'!$F$26</f>
        <v>0</v>
      </c>
      <c r="G26" s="472"/>
      <c r="H26" s="471">
        <f t="shared" si="6"/>
        <v>9</v>
      </c>
      <c r="I26" s="471">
        <f t="shared" si="7"/>
        <v>5</v>
      </c>
      <c r="J26" s="472">
        <f>'[18]06'!$J$26</f>
        <v>0</v>
      </c>
      <c r="K26" s="472">
        <f>'[18]06'!$K$26</f>
        <v>0</v>
      </c>
      <c r="L26" s="473">
        <f t="shared" si="9"/>
        <v>5</v>
      </c>
      <c r="M26" s="472">
        <f>'[18]06'!$M$26</f>
        <v>0</v>
      </c>
      <c r="N26" s="472">
        <f>'[18]06'!$N$26</f>
        <v>0</v>
      </c>
      <c r="O26" s="472">
        <f>'[18]06'!$O$26</f>
        <v>0</v>
      </c>
      <c r="P26" s="472">
        <f>'[18]06'!$P$26</f>
        <v>0</v>
      </c>
      <c r="Q26" s="474">
        <f>'[18]06'!$Q$26</f>
        <v>4</v>
      </c>
      <c r="R26" s="550">
        <f t="shared" si="3"/>
        <v>9</v>
      </c>
      <c r="S26" s="378">
        <f t="shared" si="5"/>
        <v>0</v>
      </c>
    </row>
    <row r="27" spans="1:19" ht="20.25" customHeight="1">
      <c r="A27" s="430" t="s">
        <v>1</v>
      </c>
      <c r="B27" s="431" t="s">
        <v>17</v>
      </c>
      <c r="C27" s="471">
        <f t="shared" si="2"/>
        <v>6971</v>
      </c>
      <c r="D27" s="471">
        <f aca="true" t="shared" si="10" ref="D27:Q27">D28+D38+D49+D52+D57+D65+D69+D73+D79+D84+D88+D92</f>
        <v>5634</v>
      </c>
      <c r="E27" s="471">
        <f t="shared" si="10"/>
        <v>1337</v>
      </c>
      <c r="F27" s="471">
        <f t="shared" si="10"/>
        <v>8</v>
      </c>
      <c r="G27" s="471">
        <f t="shared" si="10"/>
        <v>0</v>
      </c>
      <c r="H27" s="471">
        <f t="shared" si="10"/>
        <v>6963</v>
      </c>
      <c r="I27" s="471">
        <f t="shared" si="10"/>
        <v>4206</v>
      </c>
      <c r="J27" s="471">
        <f t="shared" si="10"/>
        <v>640</v>
      </c>
      <c r="K27" s="471">
        <f t="shared" si="10"/>
        <v>30</v>
      </c>
      <c r="L27" s="471">
        <f t="shared" si="10"/>
        <v>3460</v>
      </c>
      <c r="M27" s="471">
        <f t="shared" si="10"/>
        <v>39</v>
      </c>
      <c r="N27" s="471">
        <f t="shared" si="10"/>
        <v>13</v>
      </c>
      <c r="O27" s="471">
        <f t="shared" si="10"/>
        <v>0</v>
      </c>
      <c r="P27" s="471">
        <f t="shared" si="10"/>
        <v>24</v>
      </c>
      <c r="Q27" s="471">
        <f t="shared" si="10"/>
        <v>2757</v>
      </c>
      <c r="R27" s="550">
        <f t="shared" si="3"/>
        <v>6293</v>
      </c>
      <c r="S27" s="378">
        <f t="shared" si="5"/>
        <v>0.15929624346172136</v>
      </c>
    </row>
    <row r="28" spans="1:19" ht="20.25" customHeight="1">
      <c r="A28" s="430" t="s">
        <v>43</v>
      </c>
      <c r="B28" s="431" t="s">
        <v>456</v>
      </c>
      <c r="C28" s="471">
        <f t="shared" si="2"/>
        <v>1324</v>
      </c>
      <c r="D28" s="471">
        <f>D29+D30+D31+D32+D33+D34+D35+D36+D37</f>
        <v>1219</v>
      </c>
      <c r="E28" s="471">
        <f aca="true" t="shared" si="11" ref="E28:Q28">E29+E30+E31+E32+E33+E34+E35+E36+E37</f>
        <v>105</v>
      </c>
      <c r="F28" s="471">
        <f t="shared" si="11"/>
        <v>3</v>
      </c>
      <c r="G28" s="471">
        <f t="shared" si="11"/>
        <v>0</v>
      </c>
      <c r="H28" s="471">
        <f t="shared" si="11"/>
        <v>1321</v>
      </c>
      <c r="I28" s="471">
        <f t="shared" si="11"/>
        <v>728</v>
      </c>
      <c r="J28" s="471">
        <f t="shared" si="11"/>
        <v>33</v>
      </c>
      <c r="K28" s="471">
        <f t="shared" si="11"/>
        <v>7</v>
      </c>
      <c r="L28" s="471">
        <f t="shared" si="11"/>
        <v>651</v>
      </c>
      <c r="M28" s="471">
        <f t="shared" si="11"/>
        <v>12</v>
      </c>
      <c r="N28" s="471">
        <f t="shared" si="11"/>
        <v>8</v>
      </c>
      <c r="O28" s="471">
        <f t="shared" si="11"/>
        <v>0</v>
      </c>
      <c r="P28" s="471">
        <f t="shared" si="11"/>
        <v>17</v>
      </c>
      <c r="Q28" s="471">
        <f t="shared" si="11"/>
        <v>593</v>
      </c>
      <c r="R28" s="550">
        <f t="shared" si="3"/>
        <v>1281</v>
      </c>
      <c r="S28" s="378">
        <f t="shared" si="5"/>
        <v>0.054945054945054944</v>
      </c>
    </row>
    <row r="29" spans="1:19" ht="20.25" customHeight="1">
      <c r="A29" s="428" t="s">
        <v>45</v>
      </c>
      <c r="B29" s="432" t="s">
        <v>569</v>
      </c>
      <c r="C29" s="471">
        <f t="shared" si="2"/>
        <v>22</v>
      </c>
      <c r="D29" s="476">
        <v>21</v>
      </c>
      <c r="E29" s="477">
        <f>'[13]Mẫu BC việc theo CHV Mẫu 06'!$E$14</f>
        <v>1</v>
      </c>
      <c r="F29" s="477">
        <f>'[13]Mẫu BC việc theo CHV Mẫu 06'!$F$14</f>
        <v>0</v>
      </c>
      <c r="G29" s="478"/>
      <c r="H29" s="471">
        <f t="shared" si="6"/>
        <v>22</v>
      </c>
      <c r="I29" s="471">
        <f t="shared" si="7"/>
        <v>13</v>
      </c>
      <c r="J29" s="477">
        <f>'[13]Mẫu BC việc theo CHV Mẫu 06'!$J$14</f>
        <v>1</v>
      </c>
      <c r="K29" s="477">
        <f>'[13]Mẫu BC việc theo CHV Mẫu 06'!$K$14</f>
        <v>0</v>
      </c>
      <c r="L29" s="473">
        <f t="shared" si="9"/>
        <v>12</v>
      </c>
      <c r="M29" s="477">
        <f>'[13]Mẫu BC việc theo CHV Mẫu 06'!$M$14</f>
        <v>0</v>
      </c>
      <c r="N29" s="477" t="str">
        <f>'[13]Mẫu BC việc theo CHV Mẫu 06'!$N$14</f>
        <v>0</v>
      </c>
      <c r="O29" s="477" t="str">
        <f>'[13]Mẫu BC việc theo CHV Mẫu 06'!$O$14</f>
        <v>0</v>
      </c>
      <c r="P29" s="477" t="str">
        <f>'[13]Mẫu BC việc theo CHV Mẫu 06'!$P$14</f>
        <v>0</v>
      </c>
      <c r="Q29" s="479">
        <f>'[13]Mẫu BC việc theo CHV Mẫu 06'!$Q$14</f>
        <v>9</v>
      </c>
      <c r="R29" s="550">
        <f t="shared" si="3"/>
        <v>21</v>
      </c>
      <c r="S29" s="378">
        <f t="shared" si="5"/>
        <v>0.07692307692307693</v>
      </c>
    </row>
    <row r="30" spans="1:19" ht="20.25" customHeight="1">
      <c r="A30" s="428" t="s">
        <v>46</v>
      </c>
      <c r="B30" s="432" t="s">
        <v>458</v>
      </c>
      <c r="C30" s="471">
        <f t="shared" si="2"/>
        <v>119</v>
      </c>
      <c r="D30" s="476">
        <v>110</v>
      </c>
      <c r="E30" s="477">
        <f>'[13]Mẫu BC việc theo CHV Mẫu 06'!$E$15</f>
        <v>9</v>
      </c>
      <c r="F30" s="477">
        <f>'[13]Mẫu BC việc theo CHV Mẫu 06'!$F$15</f>
        <v>1</v>
      </c>
      <c r="G30" s="478">
        <v>0</v>
      </c>
      <c r="H30" s="471">
        <f t="shared" si="6"/>
        <v>118</v>
      </c>
      <c r="I30" s="471">
        <f t="shared" si="7"/>
        <v>53</v>
      </c>
      <c r="J30" s="477">
        <f>'[13]Mẫu BC việc theo CHV Mẫu 06'!$J$15</f>
        <v>2</v>
      </c>
      <c r="K30" s="477">
        <f>'[13]Mẫu BC việc theo CHV Mẫu 06'!$K$15</f>
        <v>6</v>
      </c>
      <c r="L30" s="473">
        <f t="shared" si="9"/>
        <v>40</v>
      </c>
      <c r="M30" s="477">
        <f>'[13]Mẫu BC việc theo CHV Mẫu 06'!$M$15</f>
        <v>3</v>
      </c>
      <c r="N30" s="477">
        <f>'[13]Mẫu BC việc theo CHV Mẫu 06'!$N$15</f>
        <v>2</v>
      </c>
      <c r="O30" s="477">
        <f>'[13]Mẫu BC việc theo CHV Mẫu 06'!$O$15</f>
        <v>0</v>
      </c>
      <c r="P30" s="477">
        <f>'[13]Mẫu BC việc theo CHV Mẫu 06'!$P$15</f>
        <v>0</v>
      </c>
      <c r="Q30" s="479">
        <f>'[13]Mẫu BC việc theo CHV Mẫu 06'!$Q$15</f>
        <v>65</v>
      </c>
      <c r="R30" s="550">
        <f t="shared" si="3"/>
        <v>110</v>
      </c>
      <c r="S30" s="378">
        <f t="shared" si="5"/>
        <v>0.1509433962264151</v>
      </c>
    </row>
    <row r="31" spans="1:19" ht="20.25" customHeight="1">
      <c r="A31" s="428" t="s">
        <v>104</v>
      </c>
      <c r="B31" s="432" t="s">
        <v>459</v>
      </c>
      <c r="C31" s="471">
        <f t="shared" si="2"/>
        <v>172</v>
      </c>
      <c r="D31" s="476">
        <v>159</v>
      </c>
      <c r="E31" s="477">
        <f>'[13]Mẫu BC việc theo CHV Mẫu 06'!$E$16</f>
        <v>13</v>
      </c>
      <c r="F31" s="477">
        <f>'[13]Mẫu BC việc theo CHV Mẫu 06'!$F$16</f>
        <v>0</v>
      </c>
      <c r="G31" s="478"/>
      <c r="H31" s="471">
        <f t="shared" si="6"/>
        <v>172</v>
      </c>
      <c r="I31" s="471">
        <f t="shared" si="7"/>
        <v>73</v>
      </c>
      <c r="J31" s="477">
        <f>'[13]Mẫu BC việc theo CHV Mẫu 06'!$J$16</f>
        <v>0</v>
      </c>
      <c r="K31" s="477">
        <f>'[13]Mẫu BC việc theo CHV Mẫu 06'!$K$16</f>
        <v>0</v>
      </c>
      <c r="L31" s="473">
        <f t="shared" si="9"/>
        <v>67</v>
      </c>
      <c r="M31" s="477">
        <f>'[13]Mẫu BC việc theo CHV Mẫu 06'!$M$16</f>
        <v>0</v>
      </c>
      <c r="N31" s="477">
        <f>'[13]Mẫu BC việc theo CHV Mẫu 06'!$N$16</f>
        <v>0</v>
      </c>
      <c r="O31" s="477">
        <f>'[13]Mẫu BC việc theo CHV Mẫu 06'!$O$16</f>
        <v>0</v>
      </c>
      <c r="P31" s="477">
        <f>'[13]Mẫu BC việc theo CHV Mẫu 06'!$P$16</f>
        <v>6</v>
      </c>
      <c r="Q31" s="479">
        <f>'[13]Mẫu BC việc theo CHV Mẫu 06'!$Q$16</f>
        <v>99</v>
      </c>
      <c r="R31" s="550">
        <f t="shared" si="3"/>
        <v>172</v>
      </c>
      <c r="S31" s="378">
        <f t="shared" si="5"/>
        <v>0</v>
      </c>
    </row>
    <row r="32" spans="1:19" ht="20.25" customHeight="1">
      <c r="A32" s="428" t="s">
        <v>106</v>
      </c>
      <c r="B32" s="432" t="s">
        <v>460</v>
      </c>
      <c r="C32" s="471">
        <f t="shared" si="2"/>
        <v>181</v>
      </c>
      <c r="D32" s="476">
        <v>170</v>
      </c>
      <c r="E32" s="477">
        <f>'[13]Mẫu BC việc theo CHV Mẫu 06'!$E$17</f>
        <v>11</v>
      </c>
      <c r="F32" s="477">
        <f>'[13]Mẫu BC việc theo CHV Mẫu 06'!$F$17</f>
        <v>2</v>
      </c>
      <c r="G32" s="478">
        <v>0</v>
      </c>
      <c r="H32" s="471">
        <f t="shared" si="6"/>
        <v>179</v>
      </c>
      <c r="I32" s="471">
        <f t="shared" si="7"/>
        <v>121</v>
      </c>
      <c r="J32" s="477">
        <f>'[13]Mẫu BC việc theo CHV Mẫu 06'!$J$17</f>
        <v>0</v>
      </c>
      <c r="K32" s="477">
        <f>'[13]Mẫu BC việc theo CHV Mẫu 06'!$K$17</f>
        <v>0</v>
      </c>
      <c r="L32" s="473">
        <f t="shared" si="9"/>
        <v>121</v>
      </c>
      <c r="M32" s="477">
        <f>'[13]Mẫu BC việc theo CHV Mẫu 06'!$M$17</f>
        <v>0</v>
      </c>
      <c r="N32" s="477">
        <f>'[13]Mẫu BC việc theo CHV Mẫu 06'!$N$17</f>
        <v>0</v>
      </c>
      <c r="O32" s="477">
        <f>'[13]Mẫu BC việc theo CHV Mẫu 06'!$O$17</f>
        <v>0</v>
      </c>
      <c r="P32" s="477">
        <f>'[13]Mẫu BC việc theo CHV Mẫu 06'!$P$17</f>
        <v>0</v>
      </c>
      <c r="Q32" s="479">
        <f>'[13]Mẫu BC việc theo CHV Mẫu 06'!$Q$17</f>
        <v>58</v>
      </c>
      <c r="R32" s="550">
        <f t="shared" si="3"/>
        <v>179</v>
      </c>
      <c r="S32" s="378">
        <f t="shared" si="5"/>
        <v>0</v>
      </c>
    </row>
    <row r="33" spans="1:19" ht="20.25" customHeight="1">
      <c r="A33" s="428" t="s">
        <v>107</v>
      </c>
      <c r="B33" s="443" t="s">
        <v>570</v>
      </c>
      <c r="C33" s="471">
        <f t="shared" si="2"/>
        <v>112</v>
      </c>
      <c r="D33" s="476">
        <v>102</v>
      </c>
      <c r="E33" s="477">
        <f>'[13]Mẫu BC việc theo CHV Mẫu 06'!$E$18</f>
        <v>10</v>
      </c>
      <c r="F33" s="477">
        <f>'[13]Mẫu BC việc theo CHV Mẫu 06'!$F$18</f>
        <v>0</v>
      </c>
      <c r="G33" s="478"/>
      <c r="H33" s="471">
        <f t="shared" si="6"/>
        <v>112</v>
      </c>
      <c r="I33" s="471">
        <f t="shared" si="7"/>
        <v>60</v>
      </c>
      <c r="J33" s="477">
        <f>'[13]Mẫu BC việc theo CHV Mẫu 06'!$J$18</f>
        <v>11</v>
      </c>
      <c r="K33" s="477">
        <f>'[13]Mẫu BC việc theo CHV Mẫu 06'!$K$18</f>
        <v>0</v>
      </c>
      <c r="L33" s="473">
        <f t="shared" si="9"/>
        <v>49</v>
      </c>
      <c r="M33" s="477">
        <f>'[13]Mẫu BC việc theo CHV Mẫu 06'!$M$18</f>
        <v>0</v>
      </c>
      <c r="N33" s="477">
        <f>'[13]Mẫu BC việc theo CHV Mẫu 06'!$N$18</f>
        <v>0</v>
      </c>
      <c r="O33" s="477">
        <f>'[13]Mẫu BC việc theo CHV Mẫu 06'!$O$18</f>
        <v>0</v>
      </c>
      <c r="P33" s="477">
        <f>'[13]Mẫu BC việc theo CHV Mẫu 06'!$P$18</f>
        <v>0</v>
      </c>
      <c r="Q33" s="479">
        <f>'[13]Mẫu BC việc theo CHV Mẫu 06'!$Q$18</f>
        <v>52</v>
      </c>
      <c r="R33" s="550">
        <f t="shared" si="3"/>
        <v>101</v>
      </c>
      <c r="S33" s="378">
        <f t="shared" si="5"/>
        <v>0.18333333333333332</v>
      </c>
    </row>
    <row r="34" spans="1:19" ht="20.25" customHeight="1">
      <c r="A34" s="428" t="s">
        <v>109</v>
      </c>
      <c r="B34" s="432" t="s">
        <v>461</v>
      </c>
      <c r="C34" s="471">
        <f t="shared" si="2"/>
        <v>232</v>
      </c>
      <c r="D34" s="476">
        <v>221</v>
      </c>
      <c r="E34" s="477">
        <f>'[13]Mẫu BC việc theo CHV Mẫu 06'!$E$19</f>
        <v>11</v>
      </c>
      <c r="F34" s="477">
        <f>'[13]Mẫu BC việc theo CHV Mẫu 06'!$F$19</f>
        <v>0</v>
      </c>
      <c r="G34" s="478">
        <v>0</v>
      </c>
      <c r="H34" s="471">
        <f t="shared" si="6"/>
        <v>232</v>
      </c>
      <c r="I34" s="471">
        <f t="shared" si="7"/>
        <v>102</v>
      </c>
      <c r="J34" s="477">
        <f>'[13]Mẫu BC việc theo CHV Mẫu 06'!$J$19</f>
        <v>0</v>
      </c>
      <c r="K34" s="477">
        <f>'[13]Mẫu BC việc theo CHV Mẫu 06'!$K$19</f>
        <v>0</v>
      </c>
      <c r="L34" s="473">
        <f t="shared" si="9"/>
        <v>87</v>
      </c>
      <c r="M34" s="477">
        <f>'[13]Mẫu BC việc theo CHV Mẫu 06'!$M$19</f>
        <v>2</v>
      </c>
      <c r="N34" s="477">
        <f>'[13]Mẫu BC việc theo CHV Mẫu 06'!$N$19</f>
        <v>2</v>
      </c>
      <c r="O34" s="477">
        <f>'[13]Mẫu BC việc theo CHV Mẫu 06'!$O$19</f>
        <v>0</v>
      </c>
      <c r="P34" s="477">
        <f>'[13]Mẫu BC việc theo CHV Mẫu 06'!$P$19</f>
        <v>11</v>
      </c>
      <c r="Q34" s="479">
        <f>'[13]Mẫu BC việc theo CHV Mẫu 06'!$Q$19</f>
        <v>130</v>
      </c>
      <c r="R34" s="550">
        <f t="shared" si="3"/>
        <v>232</v>
      </c>
      <c r="S34" s="378">
        <f t="shared" si="5"/>
        <v>0</v>
      </c>
    </row>
    <row r="35" spans="1:19" ht="20.25" customHeight="1">
      <c r="A35" s="428" t="s">
        <v>110</v>
      </c>
      <c r="B35" s="432" t="s">
        <v>462</v>
      </c>
      <c r="C35" s="471">
        <f t="shared" si="2"/>
        <v>164</v>
      </c>
      <c r="D35" s="476">
        <v>151</v>
      </c>
      <c r="E35" s="477">
        <f>'[13]Mẫu BC việc theo CHV Mẫu 06'!$E$20</f>
        <v>13</v>
      </c>
      <c r="F35" s="477">
        <f>'[13]Mẫu BC việc theo CHV Mẫu 06'!$F$20</f>
        <v>0</v>
      </c>
      <c r="G35" s="478"/>
      <c r="H35" s="471">
        <f t="shared" si="6"/>
        <v>164</v>
      </c>
      <c r="I35" s="471">
        <f t="shared" si="7"/>
        <v>84</v>
      </c>
      <c r="J35" s="477">
        <f>'[13]Mẫu BC việc theo CHV Mẫu 06'!$J$20</f>
        <v>12</v>
      </c>
      <c r="K35" s="477">
        <f>'[13]Mẫu BC việc theo CHV Mẫu 06'!$K$20</f>
        <v>0</v>
      </c>
      <c r="L35" s="473">
        <f t="shared" si="9"/>
        <v>69</v>
      </c>
      <c r="M35" s="477">
        <f>'[13]Mẫu BC việc theo CHV Mẫu 06'!$M$20</f>
        <v>3</v>
      </c>
      <c r="N35" s="477">
        <f>'[13]Mẫu BC việc theo CHV Mẫu 06'!$N$20</f>
        <v>0</v>
      </c>
      <c r="O35" s="477">
        <f>'[13]Mẫu BC việc theo CHV Mẫu 06'!$O$20</f>
        <v>0</v>
      </c>
      <c r="P35" s="477">
        <f>'[13]Mẫu BC việc theo CHV Mẫu 06'!$P$20</f>
        <v>0</v>
      </c>
      <c r="Q35" s="479">
        <f>'[13]Mẫu BC việc theo CHV Mẫu 06'!$Q$20</f>
        <v>80</v>
      </c>
      <c r="R35" s="550">
        <f t="shared" si="3"/>
        <v>152</v>
      </c>
      <c r="S35" s="378">
        <f t="shared" si="5"/>
        <v>0.14285714285714285</v>
      </c>
    </row>
    <row r="36" spans="1:19" ht="20.25" customHeight="1">
      <c r="A36" s="428" t="s">
        <v>122</v>
      </c>
      <c r="B36" s="432" t="s">
        <v>463</v>
      </c>
      <c r="C36" s="471">
        <f t="shared" si="2"/>
        <v>165</v>
      </c>
      <c r="D36" s="476">
        <v>143</v>
      </c>
      <c r="E36" s="477">
        <f>'[13]Mẫu BC việc theo CHV Mẫu 06'!$E$21</f>
        <v>22</v>
      </c>
      <c r="F36" s="477">
        <f>'[13]Mẫu BC việc theo CHV Mẫu 06'!$F$21</f>
        <v>0</v>
      </c>
      <c r="G36" s="478">
        <v>0</v>
      </c>
      <c r="H36" s="471">
        <f t="shared" si="6"/>
        <v>165</v>
      </c>
      <c r="I36" s="471">
        <f t="shared" si="7"/>
        <v>100</v>
      </c>
      <c r="J36" s="477">
        <f>'[13]Mẫu BC việc theo CHV Mẫu 06'!$J$21</f>
        <v>0</v>
      </c>
      <c r="K36" s="477">
        <f>'[13]Mẫu BC việc theo CHV Mẫu 06'!$K$21</f>
        <v>0</v>
      </c>
      <c r="L36" s="473">
        <f t="shared" si="9"/>
        <v>97</v>
      </c>
      <c r="M36" s="477">
        <f>'[13]Mẫu BC việc theo CHV Mẫu 06'!$M$21</f>
        <v>0</v>
      </c>
      <c r="N36" s="477">
        <f>'[13]Mẫu BC việc theo CHV Mẫu 06'!$N$21</f>
        <v>3</v>
      </c>
      <c r="O36" s="477">
        <f>'[13]Mẫu BC việc theo CHV Mẫu 06'!$O$21</f>
        <v>0</v>
      </c>
      <c r="P36" s="477">
        <f>'[13]Mẫu BC việc theo CHV Mẫu 06'!$P$21</f>
        <v>0</v>
      </c>
      <c r="Q36" s="479">
        <f>'[13]Mẫu BC việc theo CHV Mẫu 06'!$Q$21</f>
        <v>65</v>
      </c>
      <c r="R36" s="550">
        <f t="shared" si="3"/>
        <v>165</v>
      </c>
      <c r="S36" s="378">
        <f t="shared" si="5"/>
        <v>0</v>
      </c>
    </row>
    <row r="37" spans="1:19" ht="20.25" customHeight="1">
      <c r="A37" s="428" t="s">
        <v>432</v>
      </c>
      <c r="B37" s="432" t="s">
        <v>464</v>
      </c>
      <c r="C37" s="471">
        <f t="shared" si="2"/>
        <v>157</v>
      </c>
      <c r="D37" s="476">
        <v>142</v>
      </c>
      <c r="E37" s="477">
        <f>'[13]Mẫu BC việc theo CHV Mẫu 06'!$E$22</f>
        <v>15</v>
      </c>
      <c r="F37" s="477">
        <f>'[13]Mẫu BC việc theo CHV Mẫu 06'!$F$22</f>
        <v>0</v>
      </c>
      <c r="G37" s="478"/>
      <c r="H37" s="471">
        <f t="shared" si="6"/>
        <v>157</v>
      </c>
      <c r="I37" s="471">
        <f t="shared" si="7"/>
        <v>122</v>
      </c>
      <c r="J37" s="477">
        <f>'[13]Mẫu BC việc theo CHV Mẫu 06'!$J$22</f>
        <v>7</v>
      </c>
      <c r="K37" s="477">
        <f>'[13]Mẫu BC việc theo CHV Mẫu 06'!$K$22</f>
        <v>1</v>
      </c>
      <c r="L37" s="473">
        <f t="shared" si="9"/>
        <v>109</v>
      </c>
      <c r="M37" s="477">
        <f>'[13]Mẫu BC việc theo CHV Mẫu 06'!$M$22</f>
        <v>4</v>
      </c>
      <c r="N37" s="477">
        <f>'[13]Mẫu BC việc theo CHV Mẫu 06'!$N$22</f>
        <v>1</v>
      </c>
      <c r="O37" s="477">
        <f>'[13]Mẫu BC việc theo CHV Mẫu 06'!$O$22</f>
        <v>0</v>
      </c>
      <c r="P37" s="477">
        <f>'[13]Mẫu BC việc theo CHV Mẫu 06'!$P$22</f>
        <v>0</v>
      </c>
      <c r="Q37" s="479">
        <f>'[13]Mẫu BC việc theo CHV Mẫu 06'!$Q$22</f>
        <v>35</v>
      </c>
      <c r="R37" s="550">
        <f t="shared" si="3"/>
        <v>149</v>
      </c>
      <c r="S37" s="378">
        <f t="shared" si="5"/>
        <v>0.06557377049180328</v>
      </c>
    </row>
    <row r="38" spans="1:19" ht="20.25" customHeight="1">
      <c r="A38" s="430" t="s">
        <v>44</v>
      </c>
      <c r="B38" s="431" t="s">
        <v>465</v>
      </c>
      <c r="C38" s="471">
        <f t="shared" si="2"/>
        <v>1099</v>
      </c>
      <c r="D38" s="471">
        <f>D39+D40+D41+D42+D43+D44+D45++D46++D47+D48</f>
        <v>1029</v>
      </c>
      <c r="E38" s="471">
        <f aca="true" t="shared" si="12" ref="E38:Q38">E39+E40+E41+E42+E43+E44+E45++E46++E47+E48</f>
        <v>70</v>
      </c>
      <c r="F38" s="471">
        <f t="shared" si="12"/>
        <v>0</v>
      </c>
      <c r="G38" s="471">
        <f t="shared" si="12"/>
        <v>0</v>
      </c>
      <c r="H38" s="471">
        <f t="shared" si="6"/>
        <v>1099</v>
      </c>
      <c r="I38" s="471">
        <f t="shared" si="7"/>
        <v>555</v>
      </c>
      <c r="J38" s="471">
        <f t="shared" si="12"/>
        <v>20</v>
      </c>
      <c r="K38" s="471">
        <f t="shared" si="12"/>
        <v>3</v>
      </c>
      <c r="L38" s="473">
        <f t="shared" si="9"/>
        <v>532</v>
      </c>
      <c r="M38" s="471">
        <f t="shared" si="12"/>
        <v>0</v>
      </c>
      <c r="N38" s="471">
        <f t="shared" si="12"/>
        <v>0</v>
      </c>
      <c r="O38" s="471">
        <f t="shared" si="12"/>
        <v>0</v>
      </c>
      <c r="P38" s="471">
        <f t="shared" si="12"/>
        <v>0</v>
      </c>
      <c r="Q38" s="471">
        <f t="shared" si="12"/>
        <v>544</v>
      </c>
      <c r="R38" s="550">
        <f t="shared" si="3"/>
        <v>1076</v>
      </c>
      <c r="S38" s="378">
        <f t="shared" si="5"/>
        <v>0.04144144144144144</v>
      </c>
    </row>
    <row r="39" spans="1:19" ht="20.25" customHeight="1">
      <c r="A39" s="428" t="s">
        <v>47</v>
      </c>
      <c r="B39" s="432" t="s">
        <v>466</v>
      </c>
      <c r="C39" s="480">
        <f>D39+E39</f>
        <v>96</v>
      </c>
      <c r="D39" s="481">
        <v>82</v>
      </c>
      <c r="E39" s="482">
        <f>'[20]Mẫu BC việc theo CHV Mẫu 06'!$E$13</f>
        <v>14</v>
      </c>
      <c r="F39" s="482"/>
      <c r="G39" s="482"/>
      <c r="H39" s="471">
        <f t="shared" si="6"/>
        <v>96</v>
      </c>
      <c r="I39" s="471">
        <f t="shared" si="7"/>
        <v>54</v>
      </c>
      <c r="J39" s="481">
        <v>3</v>
      </c>
      <c r="K39" s="481">
        <v>1</v>
      </c>
      <c r="L39" s="473">
        <f t="shared" si="9"/>
        <v>50</v>
      </c>
      <c r="M39" s="483">
        <v>0</v>
      </c>
      <c r="N39" s="484"/>
      <c r="O39" s="481"/>
      <c r="P39" s="481"/>
      <c r="Q39" s="481">
        <v>42</v>
      </c>
      <c r="R39" s="550">
        <f t="shared" si="3"/>
        <v>92</v>
      </c>
      <c r="S39" s="378">
        <f t="shared" si="5"/>
        <v>0.07407407407407407</v>
      </c>
    </row>
    <row r="40" spans="1:19" ht="20.25" customHeight="1">
      <c r="A40" s="428" t="s">
        <v>48</v>
      </c>
      <c r="B40" s="432" t="s">
        <v>467</v>
      </c>
      <c r="C40" s="480">
        <f aca="true" t="shared" si="13" ref="C40:C47">D40+E40</f>
        <v>125</v>
      </c>
      <c r="D40" s="481">
        <v>125</v>
      </c>
      <c r="E40" s="482">
        <f>'[20]Mẫu BC việc theo CHV Mẫu 06'!$E$14</f>
        <v>0</v>
      </c>
      <c r="F40" s="482"/>
      <c r="G40" s="482"/>
      <c r="H40" s="471">
        <f t="shared" si="6"/>
        <v>125</v>
      </c>
      <c r="I40" s="471">
        <f t="shared" si="7"/>
        <v>98</v>
      </c>
      <c r="J40" s="481">
        <v>1</v>
      </c>
      <c r="K40" s="481"/>
      <c r="L40" s="473">
        <f t="shared" si="9"/>
        <v>97</v>
      </c>
      <c r="M40" s="483">
        <v>0</v>
      </c>
      <c r="N40" s="484"/>
      <c r="O40" s="481"/>
      <c r="P40" s="481"/>
      <c r="Q40" s="481">
        <v>27</v>
      </c>
      <c r="R40" s="550">
        <f t="shared" si="3"/>
        <v>124</v>
      </c>
      <c r="S40" s="378">
        <f t="shared" si="5"/>
        <v>0.01020408163265306</v>
      </c>
    </row>
    <row r="41" spans="1:19" ht="20.25" customHeight="1">
      <c r="A41" s="428" t="s">
        <v>468</v>
      </c>
      <c r="B41" s="432" t="s">
        <v>469</v>
      </c>
      <c r="C41" s="480">
        <f t="shared" si="13"/>
        <v>170</v>
      </c>
      <c r="D41" s="481">
        <v>158</v>
      </c>
      <c r="E41" s="482">
        <f>'[20]Mẫu BC việc theo CHV Mẫu 06'!$E$15</f>
        <v>12</v>
      </c>
      <c r="F41" s="482"/>
      <c r="G41" s="482"/>
      <c r="H41" s="471">
        <f t="shared" si="6"/>
        <v>170</v>
      </c>
      <c r="I41" s="471">
        <f t="shared" si="7"/>
        <v>72</v>
      </c>
      <c r="J41" s="481">
        <v>3</v>
      </c>
      <c r="K41" s="481">
        <v>1</v>
      </c>
      <c r="L41" s="473">
        <f t="shared" si="9"/>
        <v>68</v>
      </c>
      <c r="M41" s="483">
        <v>0</v>
      </c>
      <c r="N41" s="484"/>
      <c r="O41" s="481"/>
      <c r="P41" s="481"/>
      <c r="Q41" s="481">
        <v>98</v>
      </c>
      <c r="R41" s="550">
        <f t="shared" si="3"/>
        <v>166</v>
      </c>
      <c r="S41" s="378">
        <f t="shared" si="5"/>
        <v>0.05555555555555555</v>
      </c>
    </row>
    <row r="42" spans="1:19" ht="20.25" customHeight="1">
      <c r="A42" s="428" t="s">
        <v>470</v>
      </c>
      <c r="B42" s="432" t="s">
        <v>471</v>
      </c>
      <c r="C42" s="480">
        <f t="shared" si="13"/>
        <v>171</v>
      </c>
      <c r="D42" s="481">
        <v>162</v>
      </c>
      <c r="E42" s="482">
        <f>'[20]Mẫu BC việc theo CHV Mẫu 06'!$E$16</f>
        <v>9</v>
      </c>
      <c r="F42" s="482"/>
      <c r="G42" s="482"/>
      <c r="H42" s="471">
        <f t="shared" si="6"/>
        <v>171</v>
      </c>
      <c r="I42" s="471">
        <f t="shared" si="7"/>
        <v>73</v>
      </c>
      <c r="J42" s="481">
        <v>3</v>
      </c>
      <c r="K42" s="481"/>
      <c r="L42" s="473">
        <f t="shared" si="9"/>
        <v>70</v>
      </c>
      <c r="M42" s="483">
        <v>0</v>
      </c>
      <c r="N42" s="484"/>
      <c r="O42" s="481"/>
      <c r="P42" s="481"/>
      <c r="Q42" s="481">
        <v>98</v>
      </c>
      <c r="R42" s="550">
        <f t="shared" si="3"/>
        <v>168</v>
      </c>
      <c r="S42" s="378">
        <f t="shared" si="5"/>
        <v>0.0410958904109589</v>
      </c>
    </row>
    <row r="43" spans="1:19" ht="20.25" customHeight="1">
      <c r="A43" s="428" t="s">
        <v>472</v>
      </c>
      <c r="B43" s="432" t="s">
        <v>474</v>
      </c>
      <c r="C43" s="480">
        <f t="shared" si="13"/>
        <v>75</v>
      </c>
      <c r="D43" s="481">
        <v>65</v>
      </c>
      <c r="E43" s="482">
        <f>'[20]Mẫu BC việc theo CHV Mẫu 06'!$E$17</f>
        <v>10</v>
      </c>
      <c r="F43" s="482"/>
      <c r="G43" s="482"/>
      <c r="H43" s="471">
        <f t="shared" si="6"/>
        <v>75</v>
      </c>
      <c r="I43" s="471">
        <f t="shared" si="7"/>
        <v>44</v>
      </c>
      <c r="J43" s="481">
        <v>2</v>
      </c>
      <c r="K43" s="481"/>
      <c r="L43" s="473">
        <f t="shared" si="9"/>
        <v>42</v>
      </c>
      <c r="M43" s="483">
        <v>0</v>
      </c>
      <c r="N43" s="484"/>
      <c r="O43" s="481"/>
      <c r="P43" s="481"/>
      <c r="Q43" s="481">
        <v>31</v>
      </c>
      <c r="R43" s="550">
        <f t="shared" si="3"/>
        <v>73</v>
      </c>
      <c r="S43" s="378">
        <f t="shared" si="5"/>
        <v>0.045454545454545456</v>
      </c>
    </row>
    <row r="44" spans="1:19" ht="20.25" customHeight="1">
      <c r="A44" s="428" t="s">
        <v>473</v>
      </c>
      <c r="B44" s="432" t="s">
        <v>476</v>
      </c>
      <c r="C44" s="480">
        <f t="shared" si="13"/>
        <v>117</v>
      </c>
      <c r="D44" s="481">
        <v>109</v>
      </c>
      <c r="E44" s="482">
        <f>'[20]Mẫu BC việc theo CHV Mẫu 06'!$E$18</f>
        <v>8</v>
      </c>
      <c r="F44" s="482"/>
      <c r="G44" s="482"/>
      <c r="H44" s="471">
        <f t="shared" si="6"/>
        <v>117</v>
      </c>
      <c r="I44" s="471">
        <f t="shared" si="7"/>
        <v>55</v>
      </c>
      <c r="J44" s="481">
        <v>3</v>
      </c>
      <c r="K44" s="481"/>
      <c r="L44" s="473">
        <f t="shared" si="9"/>
        <v>52</v>
      </c>
      <c r="M44" s="483">
        <v>0</v>
      </c>
      <c r="N44" s="484"/>
      <c r="O44" s="481"/>
      <c r="P44" s="481"/>
      <c r="Q44" s="481">
        <v>62</v>
      </c>
      <c r="R44" s="550">
        <f t="shared" si="3"/>
        <v>114</v>
      </c>
      <c r="S44" s="378">
        <f t="shared" si="5"/>
        <v>0.05454545454545454</v>
      </c>
    </row>
    <row r="45" spans="1:19" ht="20.25" customHeight="1">
      <c r="A45" s="428" t="s">
        <v>475</v>
      </c>
      <c r="B45" s="432" t="s">
        <v>478</v>
      </c>
      <c r="C45" s="480">
        <f t="shared" si="13"/>
        <v>145</v>
      </c>
      <c r="D45" s="481">
        <v>136</v>
      </c>
      <c r="E45" s="482">
        <f>'[20]Mẫu BC việc theo CHV Mẫu 06'!$E$19</f>
        <v>9</v>
      </c>
      <c r="F45" s="482"/>
      <c r="G45" s="482"/>
      <c r="H45" s="471">
        <f t="shared" si="6"/>
        <v>145</v>
      </c>
      <c r="I45" s="471">
        <f t="shared" si="7"/>
        <v>48</v>
      </c>
      <c r="J45" s="481">
        <v>3</v>
      </c>
      <c r="K45" s="481">
        <v>1</v>
      </c>
      <c r="L45" s="473">
        <f t="shared" si="9"/>
        <v>44</v>
      </c>
      <c r="M45" s="483">
        <v>0</v>
      </c>
      <c r="N45" s="484"/>
      <c r="O45" s="481"/>
      <c r="P45" s="481"/>
      <c r="Q45" s="481">
        <v>97</v>
      </c>
      <c r="R45" s="550">
        <f t="shared" si="3"/>
        <v>141</v>
      </c>
      <c r="S45" s="378">
        <f t="shared" si="5"/>
        <v>0.08333333333333333</v>
      </c>
    </row>
    <row r="46" spans="1:19" ht="20.25" customHeight="1">
      <c r="A46" s="428" t="s">
        <v>477</v>
      </c>
      <c r="B46" s="432" t="s">
        <v>480</v>
      </c>
      <c r="C46" s="480">
        <f t="shared" si="13"/>
        <v>117</v>
      </c>
      <c r="D46" s="485">
        <v>109</v>
      </c>
      <c r="E46" s="482">
        <f>'[20]Mẫu BC việc theo CHV Mẫu 06'!$E$20</f>
        <v>8</v>
      </c>
      <c r="F46" s="486"/>
      <c r="G46" s="486"/>
      <c r="H46" s="471">
        <f t="shared" si="6"/>
        <v>117</v>
      </c>
      <c r="I46" s="471">
        <f t="shared" si="7"/>
        <v>58</v>
      </c>
      <c r="J46" s="487">
        <v>2</v>
      </c>
      <c r="K46" s="487"/>
      <c r="L46" s="473">
        <f t="shared" si="9"/>
        <v>56</v>
      </c>
      <c r="M46" s="483">
        <v>0</v>
      </c>
      <c r="N46" s="488"/>
      <c r="O46" s="487"/>
      <c r="P46" s="489"/>
      <c r="Q46" s="490">
        <v>59</v>
      </c>
      <c r="R46" s="550">
        <f t="shared" si="3"/>
        <v>115</v>
      </c>
      <c r="S46" s="378">
        <f t="shared" si="5"/>
        <v>0.034482758620689655</v>
      </c>
    </row>
    <row r="47" spans="1:19" ht="20.25" customHeight="1">
      <c r="A47" s="428" t="s">
        <v>479</v>
      </c>
      <c r="B47" s="432" t="s">
        <v>482</v>
      </c>
      <c r="C47" s="480">
        <f t="shared" si="13"/>
        <v>83</v>
      </c>
      <c r="D47" s="485">
        <v>83</v>
      </c>
      <c r="E47" s="482">
        <f>'[20]Mẫu BC việc theo CHV Mẫu 06'!$E$21</f>
        <v>0</v>
      </c>
      <c r="F47" s="486"/>
      <c r="G47" s="486"/>
      <c r="H47" s="471">
        <f>C47-F47</f>
        <v>83</v>
      </c>
      <c r="I47" s="471">
        <f>H47-Q47</f>
        <v>53</v>
      </c>
      <c r="J47" s="487"/>
      <c r="K47" s="487"/>
      <c r="L47" s="473">
        <f>I47-J47-K47-M47-N47-O47-P47</f>
        <v>53</v>
      </c>
      <c r="M47" s="483">
        <v>0</v>
      </c>
      <c r="N47" s="488"/>
      <c r="O47" s="487"/>
      <c r="P47" s="489"/>
      <c r="Q47" s="490">
        <v>30</v>
      </c>
      <c r="R47" s="550">
        <f t="shared" si="3"/>
        <v>83</v>
      </c>
      <c r="S47" s="378">
        <f t="shared" si="5"/>
        <v>0</v>
      </c>
    </row>
    <row r="48" spans="1:19" ht="20.25" customHeight="1">
      <c r="A48" s="428"/>
      <c r="B48" s="432"/>
      <c r="C48" s="491"/>
      <c r="D48" s="486"/>
      <c r="E48" s="482"/>
      <c r="F48" s="486"/>
      <c r="G48" s="486"/>
      <c r="H48" s="471">
        <f t="shared" si="6"/>
        <v>0</v>
      </c>
      <c r="I48" s="471">
        <f t="shared" si="7"/>
        <v>0</v>
      </c>
      <c r="J48" s="487"/>
      <c r="K48" s="487"/>
      <c r="L48" s="473">
        <f t="shared" si="9"/>
        <v>0</v>
      </c>
      <c r="M48" s="492">
        <v>0</v>
      </c>
      <c r="N48" s="488"/>
      <c r="O48" s="487"/>
      <c r="P48" s="489"/>
      <c r="Q48" s="490">
        <v>0</v>
      </c>
      <c r="R48" s="550">
        <f t="shared" si="3"/>
        <v>0</v>
      </c>
      <c r="S48" s="378"/>
    </row>
    <row r="49" spans="1:19" ht="20.25" customHeight="1">
      <c r="A49" s="430" t="s">
        <v>49</v>
      </c>
      <c r="B49" s="431" t="s">
        <v>483</v>
      </c>
      <c r="C49" s="471">
        <f t="shared" si="2"/>
        <v>30</v>
      </c>
      <c r="D49" s="471">
        <f>D50+D51</f>
        <v>23</v>
      </c>
      <c r="E49" s="471">
        <f aca="true" t="shared" si="14" ref="E49:Q49">E50+E51</f>
        <v>7</v>
      </c>
      <c r="F49" s="471">
        <f t="shared" si="14"/>
        <v>0</v>
      </c>
      <c r="G49" s="471">
        <f t="shared" si="14"/>
        <v>0</v>
      </c>
      <c r="H49" s="471">
        <f t="shared" si="6"/>
        <v>30</v>
      </c>
      <c r="I49" s="471">
        <f t="shared" si="14"/>
        <v>14</v>
      </c>
      <c r="J49" s="471">
        <f t="shared" si="14"/>
        <v>0</v>
      </c>
      <c r="K49" s="471">
        <f t="shared" si="14"/>
        <v>0</v>
      </c>
      <c r="L49" s="473">
        <f t="shared" si="9"/>
        <v>14</v>
      </c>
      <c r="M49" s="471">
        <f t="shared" si="14"/>
        <v>0</v>
      </c>
      <c r="N49" s="471">
        <f t="shared" si="14"/>
        <v>0</v>
      </c>
      <c r="O49" s="471">
        <f t="shared" si="14"/>
        <v>0</v>
      </c>
      <c r="P49" s="471">
        <f t="shared" si="14"/>
        <v>0</v>
      </c>
      <c r="Q49" s="471">
        <f t="shared" si="14"/>
        <v>16</v>
      </c>
      <c r="R49" s="550">
        <f t="shared" si="3"/>
        <v>30</v>
      </c>
      <c r="S49" s="378">
        <f t="shared" si="5"/>
        <v>0</v>
      </c>
    </row>
    <row r="50" spans="1:19" ht="20.25" customHeight="1">
      <c r="A50" s="428" t="s">
        <v>113</v>
      </c>
      <c r="B50" s="433" t="s">
        <v>484</v>
      </c>
      <c r="C50" s="471">
        <f t="shared" si="2"/>
        <v>30</v>
      </c>
      <c r="D50" s="472">
        <v>23</v>
      </c>
      <c r="E50" s="493">
        <f>'[15]BM 06'!$E$14</f>
        <v>7</v>
      </c>
      <c r="F50" s="472">
        <f>'[15]BM 06'!$F$14</f>
        <v>0</v>
      </c>
      <c r="G50" s="472"/>
      <c r="H50" s="471">
        <f t="shared" si="6"/>
        <v>30</v>
      </c>
      <c r="I50" s="471">
        <f t="shared" si="7"/>
        <v>14</v>
      </c>
      <c r="J50" s="493">
        <f>'[15]BM 06'!$J$14</f>
        <v>0</v>
      </c>
      <c r="K50" s="493">
        <f>'[15]BM 06'!$K$14</f>
        <v>0</v>
      </c>
      <c r="L50" s="473">
        <f t="shared" si="9"/>
        <v>14</v>
      </c>
      <c r="M50" s="493">
        <f>'[15]BM 06'!$M$14</f>
        <v>0</v>
      </c>
      <c r="N50" s="493">
        <f>'[15]BM 06'!$N$14</f>
        <v>0</v>
      </c>
      <c r="O50" s="493">
        <f>'[15]BM 06'!$O$14</f>
        <v>0</v>
      </c>
      <c r="P50" s="493">
        <f>'[15]BM 06'!$P$14</f>
        <v>0</v>
      </c>
      <c r="Q50" s="493">
        <f>'[15]BM 06'!$Q$14</f>
        <v>16</v>
      </c>
      <c r="R50" s="550">
        <f t="shared" si="3"/>
        <v>30</v>
      </c>
      <c r="S50" s="378">
        <f t="shared" si="5"/>
        <v>0</v>
      </c>
    </row>
    <row r="51" spans="1:19" ht="20.25" customHeight="1">
      <c r="A51" s="428"/>
      <c r="B51" s="433"/>
      <c r="C51" s="471">
        <f t="shared" si="2"/>
        <v>0</v>
      </c>
      <c r="D51" s="472"/>
      <c r="E51" s="493"/>
      <c r="F51" s="472"/>
      <c r="G51" s="472"/>
      <c r="H51" s="471">
        <f t="shared" si="6"/>
        <v>0</v>
      </c>
      <c r="I51" s="471">
        <f t="shared" si="7"/>
        <v>0</v>
      </c>
      <c r="J51" s="493"/>
      <c r="K51" s="493"/>
      <c r="L51" s="473">
        <f t="shared" si="9"/>
        <v>0</v>
      </c>
      <c r="M51" s="493"/>
      <c r="N51" s="493"/>
      <c r="O51" s="493"/>
      <c r="P51" s="493"/>
      <c r="Q51" s="493"/>
      <c r="R51" s="550">
        <f t="shared" si="3"/>
        <v>0</v>
      </c>
      <c r="S51" s="378"/>
    </row>
    <row r="52" spans="1:19" ht="20.25" customHeight="1">
      <c r="A52" s="430" t="s">
        <v>58</v>
      </c>
      <c r="B52" s="431" t="s">
        <v>485</v>
      </c>
      <c r="C52" s="471">
        <f t="shared" si="2"/>
        <v>385</v>
      </c>
      <c r="D52" s="471">
        <f>D53+D54+D55+D56</f>
        <v>304</v>
      </c>
      <c r="E52" s="471">
        <f aca="true" t="shared" si="15" ref="E52:Q52">E53+E54+E55+E56</f>
        <v>81</v>
      </c>
      <c r="F52" s="471">
        <f t="shared" si="15"/>
        <v>0</v>
      </c>
      <c r="G52" s="471">
        <f t="shared" si="15"/>
        <v>0</v>
      </c>
      <c r="H52" s="471">
        <f t="shared" si="6"/>
        <v>385</v>
      </c>
      <c r="I52" s="471">
        <f t="shared" si="15"/>
        <v>216</v>
      </c>
      <c r="J52" s="471">
        <f t="shared" si="15"/>
        <v>43</v>
      </c>
      <c r="K52" s="471">
        <f t="shared" si="15"/>
        <v>1</v>
      </c>
      <c r="L52" s="473">
        <f t="shared" si="9"/>
        <v>172</v>
      </c>
      <c r="M52" s="471">
        <f t="shared" si="15"/>
        <v>0</v>
      </c>
      <c r="N52" s="471">
        <f t="shared" si="15"/>
        <v>0</v>
      </c>
      <c r="O52" s="471">
        <f t="shared" si="15"/>
        <v>0</v>
      </c>
      <c r="P52" s="471">
        <f t="shared" si="15"/>
        <v>0</v>
      </c>
      <c r="Q52" s="471">
        <f t="shared" si="15"/>
        <v>169</v>
      </c>
      <c r="R52" s="550">
        <f t="shared" si="3"/>
        <v>341</v>
      </c>
      <c r="S52" s="378">
        <f t="shared" si="5"/>
        <v>0.2037037037037037</v>
      </c>
    </row>
    <row r="53" spans="1:19" ht="20.25" customHeight="1">
      <c r="A53" s="428" t="s">
        <v>115</v>
      </c>
      <c r="B53" s="433" t="s">
        <v>486</v>
      </c>
      <c r="C53" s="471">
        <f t="shared" si="2"/>
        <v>36</v>
      </c>
      <c r="D53" s="469">
        <v>32</v>
      </c>
      <c r="E53" s="494">
        <f>'[17]Mẫu BC việc theo CHV Mẫu 06'!$E$14</f>
        <v>4</v>
      </c>
      <c r="F53" s="494">
        <f>'[17]Mẫu BC việc theo CHV Mẫu 06'!$F$14</f>
        <v>0</v>
      </c>
      <c r="G53" s="494">
        <v>0</v>
      </c>
      <c r="H53" s="471">
        <f t="shared" si="6"/>
        <v>36</v>
      </c>
      <c r="I53" s="471">
        <f t="shared" si="7"/>
        <v>19</v>
      </c>
      <c r="J53" s="494">
        <f>'[17]Mẫu BC việc theo CHV Mẫu 06'!$J$14</f>
        <v>1</v>
      </c>
      <c r="K53" s="494">
        <f>'[17]Mẫu BC việc theo CHV Mẫu 06'!$K$14</f>
        <v>0</v>
      </c>
      <c r="L53" s="473">
        <f t="shared" si="9"/>
        <v>18</v>
      </c>
      <c r="M53" s="546" t="str">
        <f>'[17]Mẫu BC việc theo CHV Mẫu 06'!$M$14</f>
        <v>0</v>
      </c>
      <c r="N53" s="546" t="str">
        <f>'[17]Mẫu BC việc theo CHV Mẫu 06'!$N$14</f>
        <v>0</v>
      </c>
      <c r="O53" s="546" t="str">
        <f>'[17]Mẫu BC việc theo CHV Mẫu 06'!$O$14</f>
        <v>0</v>
      </c>
      <c r="P53" s="549" t="str">
        <f>'[17]Mẫu BC việc theo CHV Mẫu 06'!$P$14</f>
        <v>0</v>
      </c>
      <c r="Q53" s="547" t="str">
        <f>'[17]Mẫu BC việc theo CHV Mẫu 06'!$Q$14</f>
        <v>17</v>
      </c>
      <c r="R53" s="550">
        <f t="shared" si="3"/>
        <v>35</v>
      </c>
      <c r="S53" s="378">
        <f t="shared" si="5"/>
        <v>0.05263157894736842</v>
      </c>
    </row>
    <row r="54" spans="1:19" ht="20.25" customHeight="1">
      <c r="A54" s="428" t="s">
        <v>116</v>
      </c>
      <c r="B54" s="433" t="s">
        <v>487</v>
      </c>
      <c r="C54" s="471">
        <f t="shared" si="2"/>
        <v>133</v>
      </c>
      <c r="D54" s="469">
        <v>114</v>
      </c>
      <c r="E54" s="494">
        <f>'[17]Mẫu BC việc theo CHV Mẫu 06'!$E$15</f>
        <v>19</v>
      </c>
      <c r="F54" s="494">
        <f>'[17]Mẫu BC việc theo CHV Mẫu 06'!$F$15</f>
        <v>0</v>
      </c>
      <c r="G54" s="494">
        <v>0</v>
      </c>
      <c r="H54" s="471">
        <f t="shared" si="6"/>
        <v>133</v>
      </c>
      <c r="I54" s="471">
        <f t="shared" si="7"/>
        <v>68</v>
      </c>
      <c r="J54" s="494">
        <f>'[17]Mẫu BC việc theo CHV Mẫu 06'!$J$15</f>
        <v>11</v>
      </c>
      <c r="K54" s="494">
        <f>'[17]Mẫu BC việc theo CHV Mẫu 06'!$K$15</f>
        <v>1</v>
      </c>
      <c r="L54" s="473">
        <f t="shared" si="9"/>
        <v>56</v>
      </c>
      <c r="M54" s="546">
        <f>'[17]Mẫu BC việc theo CHV Mẫu 06'!$M$15</f>
        <v>0</v>
      </c>
      <c r="N54" s="546">
        <f>'[17]Mẫu BC việc theo CHV Mẫu 06'!$N$15</f>
        <v>0</v>
      </c>
      <c r="O54" s="546">
        <f>'[17]Mẫu BC việc theo CHV Mẫu 06'!$O$15</f>
        <v>0</v>
      </c>
      <c r="P54" s="549">
        <f>'[17]Mẫu BC việc theo CHV Mẫu 06'!$P$15</f>
        <v>0</v>
      </c>
      <c r="Q54" s="548">
        <f>'[17]Mẫu BC việc theo CHV Mẫu 06'!$Q$15</f>
        <v>65</v>
      </c>
      <c r="R54" s="550">
        <f t="shared" si="3"/>
        <v>121</v>
      </c>
      <c r="S54" s="378">
        <f t="shared" si="5"/>
        <v>0.17647058823529413</v>
      </c>
    </row>
    <row r="55" spans="1:19" ht="20.25" customHeight="1">
      <c r="A55" s="428" t="s">
        <v>117</v>
      </c>
      <c r="B55" s="434" t="s">
        <v>488</v>
      </c>
      <c r="C55" s="471">
        <f t="shared" si="2"/>
        <v>104</v>
      </c>
      <c r="D55" s="469">
        <v>72</v>
      </c>
      <c r="E55" s="494">
        <f>'[17]Mẫu BC việc theo CHV Mẫu 06'!$E$16</f>
        <v>32</v>
      </c>
      <c r="F55" s="494">
        <f>'[17]Mẫu BC việc theo CHV Mẫu 06'!$F$16</f>
        <v>0</v>
      </c>
      <c r="G55" s="494">
        <v>0</v>
      </c>
      <c r="H55" s="471">
        <f t="shared" si="6"/>
        <v>104</v>
      </c>
      <c r="I55" s="471">
        <f t="shared" si="7"/>
        <v>71</v>
      </c>
      <c r="J55" s="494">
        <f>'[17]Mẫu BC việc theo CHV Mẫu 06'!$J$16</f>
        <v>20</v>
      </c>
      <c r="K55" s="494">
        <f>'[17]Mẫu BC việc theo CHV Mẫu 06'!$K$16</f>
        <v>0</v>
      </c>
      <c r="L55" s="473">
        <f t="shared" si="9"/>
        <v>51</v>
      </c>
      <c r="M55" s="546" t="str">
        <f>'[17]Mẫu BC việc theo CHV Mẫu 06'!$M$16</f>
        <v>0</v>
      </c>
      <c r="N55" s="546" t="str">
        <f>'[17]Mẫu BC việc theo CHV Mẫu 06'!$N$16</f>
        <v>0</v>
      </c>
      <c r="O55" s="546" t="str">
        <f>'[17]Mẫu BC việc theo CHV Mẫu 06'!$O$16</f>
        <v>0</v>
      </c>
      <c r="P55" s="549" t="str">
        <f>'[17]Mẫu BC việc theo CHV Mẫu 06'!$P$16</f>
        <v>0</v>
      </c>
      <c r="Q55" s="547" t="str">
        <f>'[17]Mẫu BC việc theo CHV Mẫu 06'!$Q$16</f>
        <v>33</v>
      </c>
      <c r="R55" s="550">
        <f t="shared" si="3"/>
        <v>84</v>
      </c>
      <c r="S55" s="378">
        <f t="shared" si="5"/>
        <v>0.28169014084507044</v>
      </c>
    </row>
    <row r="56" spans="1:19" ht="20.25" customHeight="1">
      <c r="A56" s="428" t="s">
        <v>118</v>
      </c>
      <c r="B56" s="434" t="s">
        <v>489</v>
      </c>
      <c r="C56" s="471">
        <f t="shared" si="2"/>
        <v>112</v>
      </c>
      <c r="D56" s="545" t="s">
        <v>571</v>
      </c>
      <c r="E56" s="546" t="str">
        <f>'[17]Mẫu BC việc theo CHV Mẫu 06'!$E$17</f>
        <v>26</v>
      </c>
      <c r="F56" s="546" t="str">
        <f>'[17]Mẫu BC việc theo CHV Mẫu 06'!$F$17</f>
        <v>0</v>
      </c>
      <c r="G56" s="496"/>
      <c r="H56" s="471">
        <f t="shared" si="6"/>
        <v>112</v>
      </c>
      <c r="I56" s="471">
        <f t="shared" si="7"/>
        <v>58</v>
      </c>
      <c r="J56" s="546" t="str">
        <f>'[17]Mẫu BC việc theo CHV Mẫu 06'!$J$17</f>
        <v>11</v>
      </c>
      <c r="K56" s="494" t="str">
        <f>'[17]Mẫu BC việc theo CHV Mẫu 06'!$K$17</f>
        <v>0</v>
      </c>
      <c r="L56" s="473">
        <f t="shared" si="9"/>
        <v>47</v>
      </c>
      <c r="M56" s="546" t="str">
        <f>'[17]Mẫu BC việc theo CHV Mẫu 06'!$M$17</f>
        <v>0</v>
      </c>
      <c r="N56" s="546" t="str">
        <f>'[17]Mẫu BC việc theo CHV Mẫu 06'!$N$17</f>
        <v>0</v>
      </c>
      <c r="O56" s="546" t="str">
        <f>'[17]Mẫu BC việc theo CHV Mẫu 06'!$O$17</f>
        <v>0</v>
      </c>
      <c r="P56" s="549" t="str">
        <f>'[17]Mẫu BC việc theo CHV Mẫu 06'!$P$17</f>
        <v>0</v>
      </c>
      <c r="Q56" s="547" t="str">
        <f>'[17]Mẫu BC việc theo CHV Mẫu 06'!$Q$17</f>
        <v>54</v>
      </c>
      <c r="R56" s="550">
        <f t="shared" si="3"/>
        <v>101</v>
      </c>
      <c r="S56" s="378">
        <f t="shared" si="5"/>
        <v>0.1896551724137931</v>
      </c>
    </row>
    <row r="57" spans="1:19" ht="20.25" customHeight="1">
      <c r="A57" s="430" t="s">
        <v>59</v>
      </c>
      <c r="B57" s="431" t="s">
        <v>490</v>
      </c>
      <c r="C57" s="471">
        <f t="shared" si="2"/>
        <v>1123</v>
      </c>
      <c r="D57" s="471">
        <f>D58+D59+D60+D61+D62+D63+D64</f>
        <v>918</v>
      </c>
      <c r="E57" s="471">
        <f aca="true" t="shared" si="16" ref="E57:Q57">E58+E59+E60+E61+E62+E63+E64</f>
        <v>205</v>
      </c>
      <c r="F57" s="471">
        <f t="shared" si="16"/>
        <v>3</v>
      </c>
      <c r="G57" s="471">
        <f t="shared" si="16"/>
        <v>0</v>
      </c>
      <c r="H57" s="471">
        <f>C57-F57</f>
        <v>1120</v>
      </c>
      <c r="I57" s="471">
        <f t="shared" si="7"/>
        <v>618</v>
      </c>
      <c r="J57" s="471">
        <f t="shared" si="16"/>
        <v>101</v>
      </c>
      <c r="K57" s="471">
        <f t="shared" si="16"/>
        <v>7</v>
      </c>
      <c r="L57" s="473">
        <f t="shared" si="9"/>
        <v>492</v>
      </c>
      <c r="M57" s="471">
        <f t="shared" si="16"/>
        <v>12</v>
      </c>
      <c r="N57" s="471">
        <f t="shared" si="16"/>
        <v>0</v>
      </c>
      <c r="O57" s="471">
        <f t="shared" si="16"/>
        <v>0</v>
      </c>
      <c r="P57" s="471">
        <f t="shared" si="16"/>
        <v>6</v>
      </c>
      <c r="Q57" s="471">
        <f t="shared" si="16"/>
        <v>502</v>
      </c>
      <c r="R57" s="550">
        <f t="shared" si="3"/>
        <v>1012</v>
      </c>
      <c r="S57" s="378">
        <f t="shared" si="5"/>
        <v>0.17475728155339806</v>
      </c>
    </row>
    <row r="58" spans="1:19" ht="20.25" customHeight="1">
      <c r="A58" s="428" t="s">
        <v>119</v>
      </c>
      <c r="B58" s="433" t="s">
        <v>457</v>
      </c>
      <c r="C58" s="471">
        <f t="shared" si="2"/>
        <v>211</v>
      </c>
      <c r="D58" s="497">
        <v>170</v>
      </c>
      <c r="E58" s="493">
        <f>'[8]06'!$E$12</f>
        <v>41</v>
      </c>
      <c r="F58" s="493">
        <f>'[8]06'!$F$12</f>
        <v>0</v>
      </c>
      <c r="G58" s="493"/>
      <c r="H58" s="471">
        <f aca="true" t="shared" si="17" ref="H58:H65">C58-F58</f>
        <v>211</v>
      </c>
      <c r="I58" s="471">
        <f t="shared" si="7"/>
        <v>114</v>
      </c>
      <c r="J58" s="494">
        <f>'[8]06'!$J$12</f>
        <v>20</v>
      </c>
      <c r="K58" s="494">
        <f>'[8]06'!$K$12</f>
        <v>1</v>
      </c>
      <c r="L58" s="473">
        <f t="shared" si="9"/>
        <v>93</v>
      </c>
      <c r="M58" s="494">
        <f>'[8]06'!$M$12</f>
        <v>0</v>
      </c>
      <c r="N58" s="494">
        <f>'[8]06'!$N$12</f>
        <v>0</v>
      </c>
      <c r="O58" s="494">
        <f>'[8]06'!$O$12</f>
        <v>0</v>
      </c>
      <c r="P58" s="495">
        <f>'[8]06'!$P$12</f>
        <v>0</v>
      </c>
      <c r="Q58" s="474">
        <f>'[8]06'!$Q$12</f>
        <v>97</v>
      </c>
      <c r="R58" s="550">
        <f t="shared" si="3"/>
        <v>190</v>
      </c>
      <c r="S58" s="378">
        <f t="shared" si="5"/>
        <v>0.18421052631578946</v>
      </c>
    </row>
    <row r="59" spans="1:19" ht="20.25" customHeight="1">
      <c r="A59" s="428" t="s">
        <v>120</v>
      </c>
      <c r="B59" s="433" t="s">
        <v>491</v>
      </c>
      <c r="C59" s="471">
        <f t="shared" si="2"/>
        <v>211</v>
      </c>
      <c r="D59" s="497">
        <v>170</v>
      </c>
      <c r="E59" s="493">
        <f>'[8]06'!$E$13</f>
        <v>41</v>
      </c>
      <c r="F59" s="493">
        <f>'[8]06'!$F$13</f>
        <v>0</v>
      </c>
      <c r="G59" s="493"/>
      <c r="H59" s="471">
        <f t="shared" si="17"/>
        <v>211</v>
      </c>
      <c r="I59" s="471">
        <f t="shared" si="7"/>
        <v>132</v>
      </c>
      <c r="J59" s="494">
        <f>'[8]06'!$J$13</f>
        <v>19</v>
      </c>
      <c r="K59" s="494">
        <f>'[8]06'!$K$13</f>
        <v>2</v>
      </c>
      <c r="L59" s="473">
        <f t="shared" si="9"/>
        <v>111</v>
      </c>
      <c r="M59" s="494">
        <f>'[8]06'!$M$13</f>
        <v>0</v>
      </c>
      <c r="N59" s="494">
        <f>'[8]06'!$N$13</f>
        <v>0</v>
      </c>
      <c r="O59" s="494">
        <f>'[8]06'!$N$13</f>
        <v>0</v>
      </c>
      <c r="P59" s="495">
        <f>'[8]06'!$P$13</f>
        <v>0</v>
      </c>
      <c r="Q59" s="474">
        <f>'[8]06'!$Q$13</f>
        <v>79</v>
      </c>
      <c r="R59" s="550">
        <f t="shared" si="3"/>
        <v>190</v>
      </c>
      <c r="S59" s="378">
        <f t="shared" si="5"/>
        <v>0.1590909090909091</v>
      </c>
    </row>
    <row r="60" spans="1:19" ht="20.25" customHeight="1">
      <c r="A60" s="428" t="s">
        <v>121</v>
      </c>
      <c r="B60" s="433" t="s">
        <v>492</v>
      </c>
      <c r="C60" s="471">
        <f t="shared" si="2"/>
        <v>192</v>
      </c>
      <c r="D60" s="497">
        <v>174</v>
      </c>
      <c r="E60" s="493">
        <f>'[8]06'!$E$14</f>
        <v>18</v>
      </c>
      <c r="F60" s="493">
        <f>'[21]06'!$F$14</f>
        <v>2</v>
      </c>
      <c r="G60" s="493"/>
      <c r="H60" s="471">
        <f t="shared" si="17"/>
        <v>190</v>
      </c>
      <c r="I60" s="471">
        <f t="shared" si="7"/>
        <v>79</v>
      </c>
      <c r="J60" s="494">
        <f>'[8]06'!$J$14</f>
        <v>11</v>
      </c>
      <c r="K60" s="494">
        <f>'[8]06'!$K$14</f>
        <v>1</v>
      </c>
      <c r="L60" s="473">
        <f t="shared" si="9"/>
        <v>67</v>
      </c>
      <c r="M60" s="494">
        <f>'[8]06'!$M$14</f>
        <v>0</v>
      </c>
      <c r="N60" s="494">
        <f>'[8]06'!$N$14</f>
        <v>0</v>
      </c>
      <c r="O60" s="494">
        <f>'[8]06'!$N$14</f>
        <v>0</v>
      </c>
      <c r="P60" s="495">
        <f>'[8]06'!$P$14</f>
        <v>0</v>
      </c>
      <c r="Q60" s="474">
        <f>'[8]06'!$Q$14</f>
        <v>111</v>
      </c>
      <c r="R60" s="550">
        <f t="shared" si="3"/>
        <v>178</v>
      </c>
      <c r="S60" s="378">
        <f t="shared" si="5"/>
        <v>0.1518987341772152</v>
      </c>
    </row>
    <row r="61" spans="1:19" ht="20.25" customHeight="1">
      <c r="A61" s="428" t="s">
        <v>493</v>
      </c>
      <c r="B61" s="433" t="s">
        <v>494</v>
      </c>
      <c r="C61" s="471">
        <f t="shared" si="2"/>
        <v>117</v>
      </c>
      <c r="D61" s="497">
        <v>89</v>
      </c>
      <c r="E61" s="493">
        <f>'[8]06'!$E$15</f>
        <v>28</v>
      </c>
      <c r="F61" s="493">
        <f>'[8]06'!$F$15</f>
        <v>0</v>
      </c>
      <c r="G61" s="493"/>
      <c r="H61" s="471">
        <f t="shared" si="17"/>
        <v>117</v>
      </c>
      <c r="I61" s="471">
        <f t="shared" si="7"/>
        <v>67</v>
      </c>
      <c r="J61" s="494">
        <f>'[8]06'!$J$15</f>
        <v>23</v>
      </c>
      <c r="K61" s="494">
        <f>'[8]06'!$K$15</f>
        <v>2</v>
      </c>
      <c r="L61" s="473">
        <f t="shared" si="9"/>
        <v>42</v>
      </c>
      <c r="M61" s="494">
        <f>'[8]06'!$M$15</f>
        <v>0</v>
      </c>
      <c r="N61" s="494">
        <f>'[8]06'!$N$15</f>
        <v>0</v>
      </c>
      <c r="O61" s="494">
        <f>'[8]06'!$N$15</f>
        <v>0</v>
      </c>
      <c r="P61" s="495">
        <f>'[8]06'!$P$15</f>
        <v>0</v>
      </c>
      <c r="Q61" s="474">
        <f>'[8]06'!$Q$15</f>
        <v>50</v>
      </c>
      <c r="R61" s="550">
        <f t="shared" si="3"/>
        <v>92</v>
      </c>
      <c r="S61" s="378">
        <f t="shared" si="5"/>
        <v>0.373134328358209</v>
      </c>
    </row>
    <row r="62" spans="1:19" ht="20.25" customHeight="1">
      <c r="A62" s="428" t="s">
        <v>495</v>
      </c>
      <c r="B62" s="433" t="s">
        <v>496</v>
      </c>
      <c r="C62" s="471">
        <f t="shared" si="2"/>
        <v>123</v>
      </c>
      <c r="D62" s="497">
        <v>106</v>
      </c>
      <c r="E62" s="493">
        <f>'[8]06'!$E$16</f>
        <v>17</v>
      </c>
      <c r="F62" s="493">
        <f>'[8]06'!$F$16</f>
        <v>0</v>
      </c>
      <c r="G62" s="493"/>
      <c r="H62" s="471">
        <f t="shared" si="17"/>
        <v>123</v>
      </c>
      <c r="I62" s="471">
        <f t="shared" si="7"/>
        <v>72</v>
      </c>
      <c r="J62" s="494">
        <f>'[8]06'!$J$16</f>
        <v>4</v>
      </c>
      <c r="K62" s="494">
        <f>'[8]06'!$K$16</f>
        <v>1</v>
      </c>
      <c r="L62" s="473">
        <f t="shared" si="9"/>
        <v>53</v>
      </c>
      <c r="M62" s="494">
        <f>'[8]06'!$M$16</f>
        <v>8</v>
      </c>
      <c r="N62" s="494">
        <f>'[8]06'!$N$16</f>
        <v>0</v>
      </c>
      <c r="O62" s="494">
        <f>'[8]06'!$O$16</f>
        <v>0</v>
      </c>
      <c r="P62" s="495">
        <f>'[8]06'!$P$16</f>
        <v>6</v>
      </c>
      <c r="Q62" s="474">
        <f>'[8]06'!$Q$16</f>
        <v>51</v>
      </c>
      <c r="R62" s="550">
        <f t="shared" si="3"/>
        <v>118</v>
      </c>
      <c r="S62" s="378">
        <f t="shared" si="5"/>
        <v>0.06944444444444445</v>
      </c>
    </row>
    <row r="63" spans="1:19" ht="20.25" customHeight="1">
      <c r="A63" s="428" t="s">
        <v>497</v>
      </c>
      <c r="B63" s="433" t="s">
        <v>498</v>
      </c>
      <c r="C63" s="471">
        <f t="shared" si="2"/>
        <v>188</v>
      </c>
      <c r="D63" s="497">
        <v>137</v>
      </c>
      <c r="E63" s="493">
        <f>'[8]06'!$E$17</f>
        <v>51</v>
      </c>
      <c r="F63" s="493">
        <f>'[8]06'!$F$17</f>
        <v>0</v>
      </c>
      <c r="G63" s="493"/>
      <c r="H63" s="471">
        <f t="shared" si="17"/>
        <v>188</v>
      </c>
      <c r="I63" s="471">
        <f t="shared" si="7"/>
        <v>121</v>
      </c>
      <c r="J63" s="494">
        <f>'[8]06'!$J$17</f>
        <v>18</v>
      </c>
      <c r="K63" s="494">
        <f>'[8]06'!$K$17</f>
        <v>0</v>
      </c>
      <c r="L63" s="473">
        <f t="shared" si="9"/>
        <v>103</v>
      </c>
      <c r="M63" s="494">
        <f>'[8]06'!$M$17</f>
        <v>0</v>
      </c>
      <c r="N63" s="494">
        <f>'[8]06'!$N$17</f>
        <v>0</v>
      </c>
      <c r="O63" s="494">
        <f>'[8]06'!$O$17</f>
        <v>0</v>
      </c>
      <c r="P63" s="495">
        <f>'[8]06'!$P$17</f>
        <v>0</v>
      </c>
      <c r="Q63" s="474">
        <f>'[8]06'!$Q$17</f>
        <v>67</v>
      </c>
      <c r="R63" s="550">
        <f t="shared" si="3"/>
        <v>170</v>
      </c>
      <c r="S63" s="378">
        <f t="shared" si="5"/>
        <v>0.1487603305785124</v>
      </c>
    </row>
    <row r="64" spans="1:19" ht="20.25" customHeight="1">
      <c r="A64" s="428" t="s">
        <v>499</v>
      </c>
      <c r="B64" s="433" t="s">
        <v>500</v>
      </c>
      <c r="C64" s="471">
        <f t="shared" si="2"/>
        <v>81</v>
      </c>
      <c r="D64" s="497">
        <v>72</v>
      </c>
      <c r="E64" s="493">
        <f>'[8]06'!$E$18</f>
        <v>9</v>
      </c>
      <c r="F64" s="493">
        <f>'[8]06'!$F$18</f>
        <v>1</v>
      </c>
      <c r="G64" s="493"/>
      <c r="H64" s="471">
        <f t="shared" si="17"/>
        <v>80</v>
      </c>
      <c r="I64" s="471">
        <f t="shared" si="7"/>
        <v>33</v>
      </c>
      <c r="J64" s="494">
        <f>'[8]06'!$J$18</f>
        <v>6</v>
      </c>
      <c r="K64" s="494">
        <f>'[8]06'!$K$18</f>
        <v>0</v>
      </c>
      <c r="L64" s="473">
        <f t="shared" si="9"/>
        <v>23</v>
      </c>
      <c r="M64" s="494">
        <f>'[8]06'!$M$18</f>
        <v>4</v>
      </c>
      <c r="N64" s="494">
        <f>'[8]06'!$N$18</f>
        <v>0</v>
      </c>
      <c r="O64" s="494">
        <f>'[8]06'!$O$18</f>
        <v>0</v>
      </c>
      <c r="P64" s="495">
        <f>'[8]06'!$P$18</f>
        <v>0</v>
      </c>
      <c r="Q64" s="474">
        <f>'[8]06'!$Q$18</f>
        <v>47</v>
      </c>
      <c r="R64" s="550">
        <f t="shared" si="3"/>
        <v>74</v>
      </c>
      <c r="S64" s="378">
        <f t="shared" si="5"/>
        <v>0.18181818181818182</v>
      </c>
    </row>
    <row r="65" spans="1:19" ht="20.25" customHeight="1">
      <c r="A65" s="430" t="s">
        <v>60</v>
      </c>
      <c r="B65" s="431" t="s">
        <v>501</v>
      </c>
      <c r="C65" s="471">
        <f t="shared" si="2"/>
        <v>980</v>
      </c>
      <c r="D65" s="498">
        <f>D66+D67+D68</f>
        <v>634</v>
      </c>
      <c r="E65" s="498">
        <f aca="true" t="shared" si="18" ref="E65:Q65">E66+E67+E68</f>
        <v>346</v>
      </c>
      <c r="F65" s="498">
        <f t="shared" si="18"/>
        <v>2</v>
      </c>
      <c r="G65" s="498">
        <f t="shared" si="18"/>
        <v>0</v>
      </c>
      <c r="H65" s="471">
        <f t="shared" si="17"/>
        <v>978</v>
      </c>
      <c r="I65" s="471">
        <f t="shared" si="7"/>
        <v>633</v>
      </c>
      <c r="J65" s="471">
        <f t="shared" si="18"/>
        <v>218</v>
      </c>
      <c r="K65" s="471">
        <f t="shared" si="18"/>
        <v>10</v>
      </c>
      <c r="L65" s="473">
        <f t="shared" si="9"/>
        <v>403</v>
      </c>
      <c r="M65" s="471">
        <f t="shared" si="18"/>
        <v>0</v>
      </c>
      <c r="N65" s="471">
        <f t="shared" si="18"/>
        <v>2</v>
      </c>
      <c r="O65" s="471">
        <f t="shared" si="18"/>
        <v>0</v>
      </c>
      <c r="P65" s="471">
        <f t="shared" si="18"/>
        <v>0</v>
      </c>
      <c r="Q65" s="471">
        <f t="shared" si="18"/>
        <v>345</v>
      </c>
      <c r="R65" s="550">
        <f t="shared" si="3"/>
        <v>750</v>
      </c>
      <c r="S65" s="378">
        <f t="shared" si="5"/>
        <v>0.36018957345971564</v>
      </c>
    </row>
    <row r="66" spans="1:19" ht="20.25" customHeight="1">
      <c r="A66" s="428" t="s">
        <v>566</v>
      </c>
      <c r="B66" s="456" t="s">
        <v>502</v>
      </c>
      <c r="C66" s="471">
        <f t="shared" si="2"/>
        <v>336</v>
      </c>
      <c r="D66" s="499">
        <v>220</v>
      </c>
      <c r="E66" s="499">
        <f>'[19]Việc lũy tiến'!$E$12</f>
        <v>116</v>
      </c>
      <c r="F66" s="499"/>
      <c r="G66" s="499"/>
      <c r="H66" s="471">
        <f t="shared" si="6"/>
        <v>336</v>
      </c>
      <c r="I66" s="471">
        <f t="shared" si="7"/>
        <v>245</v>
      </c>
      <c r="J66" s="499">
        <v>72</v>
      </c>
      <c r="K66" s="499">
        <v>3</v>
      </c>
      <c r="L66" s="473">
        <f t="shared" si="9"/>
        <v>169</v>
      </c>
      <c r="M66" s="499"/>
      <c r="N66" s="499">
        <v>1</v>
      </c>
      <c r="O66" s="499"/>
      <c r="P66" s="499"/>
      <c r="Q66" s="499">
        <v>91</v>
      </c>
      <c r="R66" s="550">
        <f t="shared" si="3"/>
        <v>261</v>
      </c>
      <c r="S66" s="378">
        <f t="shared" si="5"/>
        <v>0.30612244897959184</v>
      </c>
    </row>
    <row r="67" spans="1:19" ht="20.25" customHeight="1">
      <c r="A67" s="428" t="s">
        <v>567</v>
      </c>
      <c r="B67" s="456" t="s">
        <v>503</v>
      </c>
      <c r="C67" s="471">
        <f t="shared" si="2"/>
        <v>205</v>
      </c>
      <c r="D67" s="499">
        <v>124</v>
      </c>
      <c r="E67" s="499">
        <f>'[19]Việc lũy tiến'!$E$13</f>
        <v>81</v>
      </c>
      <c r="F67" s="499">
        <v>1</v>
      </c>
      <c r="G67" s="499"/>
      <c r="H67" s="471">
        <f t="shared" si="6"/>
        <v>204</v>
      </c>
      <c r="I67" s="471">
        <f t="shared" si="7"/>
        <v>99</v>
      </c>
      <c r="J67" s="499">
        <v>61</v>
      </c>
      <c r="K67" s="499">
        <v>2</v>
      </c>
      <c r="L67" s="473">
        <f t="shared" si="9"/>
        <v>36</v>
      </c>
      <c r="M67" s="499"/>
      <c r="N67" s="499"/>
      <c r="O67" s="499"/>
      <c r="P67" s="499"/>
      <c r="Q67" s="499">
        <v>105</v>
      </c>
      <c r="R67" s="550">
        <f t="shared" si="3"/>
        <v>141</v>
      </c>
      <c r="S67" s="378">
        <f t="shared" si="5"/>
        <v>0.6363636363636364</v>
      </c>
    </row>
    <row r="68" spans="1:19" ht="20.25" customHeight="1">
      <c r="A68" s="428" t="s">
        <v>504</v>
      </c>
      <c r="B68" s="456" t="s">
        <v>505</v>
      </c>
      <c r="C68" s="471">
        <f t="shared" si="2"/>
        <v>439</v>
      </c>
      <c r="D68" s="500">
        <v>290</v>
      </c>
      <c r="E68" s="500">
        <f>'[19]Việc lũy tiến'!$E$14</f>
        <v>149</v>
      </c>
      <c r="F68" s="500">
        <v>1</v>
      </c>
      <c r="G68" s="500"/>
      <c r="H68" s="471">
        <f t="shared" si="6"/>
        <v>438</v>
      </c>
      <c r="I68" s="471">
        <f t="shared" si="7"/>
        <v>289</v>
      </c>
      <c r="J68" s="500">
        <v>85</v>
      </c>
      <c r="K68" s="500">
        <v>5</v>
      </c>
      <c r="L68" s="473">
        <f t="shared" si="9"/>
        <v>198</v>
      </c>
      <c r="M68" s="500"/>
      <c r="N68" s="500">
        <v>1</v>
      </c>
      <c r="O68" s="500"/>
      <c r="P68" s="501"/>
      <c r="Q68" s="502">
        <v>149</v>
      </c>
      <c r="R68" s="550">
        <f t="shared" si="3"/>
        <v>348</v>
      </c>
      <c r="S68" s="378">
        <f t="shared" si="5"/>
        <v>0.31141868512110726</v>
      </c>
    </row>
    <row r="69" spans="1:19" ht="20.25" customHeight="1">
      <c r="A69" s="430" t="s">
        <v>61</v>
      </c>
      <c r="B69" s="431" t="s">
        <v>506</v>
      </c>
      <c r="C69" s="471">
        <f t="shared" si="2"/>
        <v>129</v>
      </c>
      <c r="D69" s="471">
        <f>D70+D71+D72</f>
        <v>94</v>
      </c>
      <c r="E69" s="471">
        <f aca="true" t="shared" si="19" ref="E69:Q69">E70+E71+E72</f>
        <v>35</v>
      </c>
      <c r="F69" s="471">
        <f t="shared" si="19"/>
        <v>0</v>
      </c>
      <c r="G69" s="471">
        <f t="shared" si="19"/>
        <v>0</v>
      </c>
      <c r="H69" s="471">
        <f t="shared" si="6"/>
        <v>129</v>
      </c>
      <c r="I69" s="471">
        <f t="shared" si="19"/>
        <v>99</v>
      </c>
      <c r="J69" s="471">
        <f t="shared" si="19"/>
        <v>11</v>
      </c>
      <c r="K69" s="471">
        <f t="shared" si="19"/>
        <v>0</v>
      </c>
      <c r="L69" s="473">
        <f t="shared" si="9"/>
        <v>88</v>
      </c>
      <c r="M69" s="471">
        <f t="shared" si="19"/>
        <v>0</v>
      </c>
      <c r="N69" s="471">
        <f t="shared" si="19"/>
        <v>0</v>
      </c>
      <c r="O69" s="471">
        <f t="shared" si="19"/>
        <v>0</v>
      </c>
      <c r="P69" s="471">
        <f t="shared" si="19"/>
        <v>0</v>
      </c>
      <c r="Q69" s="471">
        <f t="shared" si="19"/>
        <v>30</v>
      </c>
      <c r="R69" s="550">
        <f t="shared" si="3"/>
        <v>118</v>
      </c>
      <c r="S69" s="378">
        <f t="shared" si="5"/>
        <v>0.1111111111111111</v>
      </c>
    </row>
    <row r="70" spans="1:19" ht="20.25" customHeight="1">
      <c r="A70" s="428" t="s">
        <v>507</v>
      </c>
      <c r="B70" s="435" t="s">
        <v>508</v>
      </c>
      <c r="C70" s="471">
        <f t="shared" si="2"/>
        <v>46</v>
      </c>
      <c r="D70" s="472">
        <v>37</v>
      </c>
      <c r="E70" s="472">
        <f>'[10]Mẫu BC việc theo CHV Mẫu 06'!$E$13</f>
        <v>9</v>
      </c>
      <c r="F70" s="472">
        <f>'[10]Mẫu BC việc theo CHV Mẫu 06'!$F$13</f>
        <v>0</v>
      </c>
      <c r="G70" s="472"/>
      <c r="H70" s="471">
        <f t="shared" si="6"/>
        <v>46</v>
      </c>
      <c r="I70" s="471">
        <f t="shared" si="7"/>
        <v>35</v>
      </c>
      <c r="J70" s="472">
        <f>'[10]Mẫu BC việc theo CHV Mẫu 06'!$J$13</f>
        <v>3</v>
      </c>
      <c r="K70" s="472">
        <f>'[10]Mẫu BC việc theo CHV Mẫu 06'!$K$13</f>
        <v>0</v>
      </c>
      <c r="L70" s="473">
        <f t="shared" si="9"/>
        <v>32</v>
      </c>
      <c r="M70" s="472">
        <f>'[10]Mẫu BC việc theo CHV Mẫu 06'!$M$13</f>
        <v>0</v>
      </c>
      <c r="N70" s="472">
        <f>'[10]Mẫu BC việc theo CHV Mẫu 06'!$N$13</f>
        <v>0</v>
      </c>
      <c r="O70" s="472">
        <f>'[10]Mẫu BC việc theo CHV Mẫu 06'!$O$13</f>
        <v>0</v>
      </c>
      <c r="P70" s="472">
        <f>'[10]Mẫu BC việc theo CHV Mẫu 06'!$P$13</f>
        <v>0</v>
      </c>
      <c r="Q70" s="474">
        <f>'[10]Mẫu BC việc theo CHV Mẫu 06'!$Q$13</f>
        <v>11</v>
      </c>
      <c r="R70" s="550">
        <f t="shared" si="3"/>
        <v>43</v>
      </c>
      <c r="S70" s="378">
        <f t="shared" si="5"/>
        <v>0.08571428571428572</v>
      </c>
    </row>
    <row r="71" spans="1:19" ht="20.25" customHeight="1">
      <c r="A71" s="428" t="s">
        <v>509</v>
      </c>
      <c r="B71" s="435" t="s">
        <v>510</v>
      </c>
      <c r="C71" s="471">
        <f t="shared" si="2"/>
        <v>43</v>
      </c>
      <c r="D71" s="472">
        <v>24</v>
      </c>
      <c r="E71" s="472">
        <f>'[10]Mẫu BC việc theo CHV Mẫu 06'!$E$14</f>
        <v>19</v>
      </c>
      <c r="F71" s="472">
        <f>'[10]Mẫu BC việc theo CHV Mẫu 06'!$F$14</f>
        <v>0</v>
      </c>
      <c r="G71" s="472"/>
      <c r="H71" s="471">
        <f t="shared" si="6"/>
        <v>43</v>
      </c>
      <c r="I71" s="471">
        <f t="shared" si="7"/>
        <v>30</v>
      </c>
      <c r="J71" s="472">
        <f>'[10]Mẫu BC việc theo CHV Mẫu 06'!$J$14</f>
        <v>8</v>
      </c>
      <c r="K71" s="472">
        <f>'[10]Mẫu BC việc theo CHV Mẫu 06'!$K$14</f>
        <v>0</v>
      </c>
      <c r="L71" s="473">
        <f>I71-J71-K71-M71-N71-O71-P71</f>
        <v>22</v>
      </c>
      <c r="M71" s="472">
        <f>'[10]Mẫu BC việc theo CHV Mẫu 06'!$M$14</f>
        <v>0</v>
      </c>
      <c r="N71" s="472">
        <f>'[10]Mẫu BC việc theo CHV Mẫu 06'!$N$14</f>
        <v>0</v>
      </c>
      <c r="O71" s="472">
        <f>'[10]Mẫu BC việc theo CHV Mẫu 06'!$O$14</f>
        <v>0</v>
      </c>
      <c r="P71" s="472">
        <f>'[10]Mẫu BC việc theo CHV Mẫu 06'!$P$14</f>
        <v>0</v>
      </c>
      <c r="Q71" s="474">
        <f>'[10]Mẫu BC việc theo CHV Mẫu 06'!$Q$14</f>
        <v>13</v>
      </c>
      <c r="R71" s="550">
        <f t="shared" si="3"/>
        <v>35</v>
      </c>
      <c r="S71" s="378">
        <f t="shared" si="5"/>
        <v>0.26666666666666666</v>
      </c>
    </row>
    <row r="72" spans="1:19" ht="20.25" customHeight="1">
      <c r="A72" s="428" t="s">
        <v>563</v>
      </c>
      <c r="B72" s="435" t="s">
        <v>564</v>
      </c>
      <c r="C72" s="471">
        <f t="shared" si="2"/>
        <v>40</v>
      </c>
      <c r="D72" s="472">
        <v>33</v>
      </c>
      <c r="E72" s="472">
        <f>'[10]Mẫu BC việc theo CHV Mẫu 06'!$E$15</f>
        <v>7</v>
      </c>
      <c r="F72" s="472">
        <f>'[10]Mẫu BC việc theo CHV Mẫu 06'!$F$15</f>
        <v>0</v>
      </c>
      <c r="G72" s="472"/>
      <c r="H72" s="471">
        <f t="shared" si="6"/>
        <v>40</v>
      </c>
      <c r="I72" s="471">
        <f t="shared" si="7"/>
        <v>34</v>
      </c>
      <c r="J72" s="472">
        <f>'[10]Mẫu BC việc theo CHV Mẫu 06'!$J$15</f>
        <v>0</v>
      </c>
      <c r="K72" s="472">
        <f>'[10]Mẫu BC việc theo CHV Mẫu 06'!$K$15</f>
        <v>0</v>
      </c>
      <c r="L72" s="473">
        <f t="shared" si="9"/>
        <v>34</v>
      </c>
      <c r="M72" s="472">
        <f>'[10]Mẫu BC việc theo CHV Mẫu 06'!$M$15</f>
        <v>0</v>
      </c>
      <c r="N72" s="472">
        <f>'[10]Mẫu BC việc theo CHV Mẫu 06'!$N$15</f>
        <v>0</v>
      </c>
      <c r="O72" s="472">
        <f>'[10]Mẫu BC việc theo CHV Mẫu 06'!$O$15</f>
        <v>0</v>
      </c>
      <c r="P72" s="472">
        <f>'[10]Mẫu BC việc theo CHV Mẫu 06'!$P$15</f>
        <v>0</v>
      </c>
      <c r="Q72" s="474">
        <f>'[10]Mẫu BC việc theo CHV Mẫu 06'!$Q$15</f>
        <v>6</v>
      </c>
      <c r="R72" s="550">
        <f t="shared" si="3"/>
        <v>40</v>
      </c>
      <c r="S72" s="378">
        <f t="shared" si="5"/>
        <v>0</v>
      </c>
    </row>
    <row r="73" spans="1:19" ht="20.25" customHeight="1">
      <c r="A73" s="430" t="s">
        <v>62</v>
      </c>
      <c r="B73" s="431" t="s">
        <v>511</v>
      </c>
      <c r="C73" s="471">
        <f t="shared" si="2"/>
        <v>644</v>
      </c>
      <c r="D73" s="471">
        <f>D74+D75+D76+D77+D78</f>
        <v>494</v>
      </c>
      <c r="E73" s="471">
        <f aca="true" t="shared" si="20" ref="E73:Q73">E74+E75+E76+E77+E78</f>
        <v>150</v>
      </c>
      <c r="F73" s="471">
        <f t="shared" si="20"/>
        <v>0</v>
      </c>
      <c r="G73" s="471">
        <f t="shared" si="20"/>
        <v>0</v>
      </c>
      <c r="H73" s="471">
        <f t="shared" si="6"/>
        <v>644</v>
      </c>
      <c r="I73" s="471">
        <f t="shared" si="7"/>
        <v>471</v>
      </c>
      <c r="J73" s="471">
        <f t="shared" si="20"/>
        <v>67</v>
      </c>
      <c r="K73" s="471">
        <f t="shared" si="20"/>
        <v>1</v>
      </c>
      <c r="L73" s="473">
        <f t="shared" si="9"/>
        <v>393</v>
      </c>
      <c r="M73" s="471">
        <f t="shared" si="20"/>
        <v>9</v>
      </c>
      <c r="N73" s="471">
        <f t="shared" si="20"/>
        <v>1</v>
      </c>
      <c r="O73" s="471">
        <f t="shared" si="20"/>
        <v>0</v>
      </c>
      <c r="P73" s="471">
        <f t="shared" si="20"/>
        <v>0</v>
      </c>
      <c r="Q73" s="471">
        <f t="shared" si="20"/>
        <v>173</v>
      </c>
      <c r="R73" s="550">
        <f t="shared" si="3"/>
        <v>576</v>
      </c>
      <c r="S73" s="378">
        <f t="shared" si="5"/>
        <v>0.14437367303609341</v>
      </c>
    </row>
    <row r="74" spans="1:19" ht="20.25" customHeight="1">
      <c r="A74" s="428" t="s">
        <v>512</v>
      </c>
      <c r="B74" s="436" t="s">
        <v>513</v>
      </c>
      <c r="C74" s="471">
        <f t="shared" si="2"/>
        <v>16</v>
      </c>
      <c r="D74" s="503">
        <v>0</v>
      </c>
      <c r="E74" s="503">
        <f>'[9]việc CHV Mẫu 06'!$E$14</f>
        <v>16</v>
      </c>
      <c r="F74" s="503">
        <f>'[9]việc CHV Mẫu 06'!$F$14</f>
        <v>0</v>
      </c>
      <c r="G74" s="503">
        <v>0</v>
      </c>
      <c r="H74" s="471">
        <f t="shared" si="6"/>
        <v>16</v>
      </c>
      <c r="I74" s="471">
        <f t="shared" si="7"/>
        <v>16</v>
      </c>
      <c r="J74" s="503">
        <f>'[9]việc CHV Mẫu 06'!$J$14</f>
        <v>14</v>
      </c>
      <c r="K74" s="503">
        <f>'[9]việc CHV Mẫu 06'!$K$14</f>
        <v>0</v>
      </c>
      <c r="L74" s="473">
        <f t="shared" si="9"/>
        <v>2</v>
      </c>
      <c r="M74" s="503">
        <f>'[9]việc CHV Mẫu 06'!$M$14</f>
        <v>0</v>
      </c>
      <c r="N74" s="503">
        <f>'[9]việc CHV Mẫu 06'!$N$14</f>
        <v>0</v>
      </c>
      <c r="O74" s="503">
        <f>'[9]việc CHV Mẫu 06'!$O$14</f>
        <v>0</v>
      </c>
      <c r="P74" s="504">
        <f>'[9]việc CHV Mẫu 06'!$P$14</f>
        <v>0</v>
      </c>
      <c r="Q74" s="505">
        <f>'[9]việc CHV Mẫu 06'!$Q$14</f>
        <v>0</v>
      </c>
      <c r="R74" s="550">
        <f t="shared" si="3"/>
        <v>2</v>
      </c>
      <c r="S74" s="378">
        <f t="shared" si="5"/>
        <v>0.875</v>
      </c>
    </row>
    <row r="75" spans="1:19" ht="20.25" customHeight="1">
      <c r="A75" s="428" t="s">
        <v>514</v>
      </c>
      <c r="B75" s="436" t="s">
        <v>515</v>
      </c>
      <c r="C75" s="471">
        <f t="shared" si="2"/>
        <v>213</v>
      </c>
      <c r="D75" s="503">
        <v>166</v>
      </c>
      <c r="E75" s="503">
        <f>'[9]việc CHV Mẫu 06'!$E$15</f>
        <v>47</v>
      </c>
      <c r="F75" s="503">
        <f>'[9]việc CHV Mẫu 06'!$F$15</f>
        <v>0</v>
      </c>
      <c r="G75" s="503">
        <v>0</v>
      </c>
      <c r="H75" s="471">
        <f t="shared" si="6"/>
        <v>213</v>
      </c>
      <c r="I75" s="471">
        <f t="shared" si="7"/>
        <v>166</v>
      </c>
      <c r="J75" s="503">
        <f>'[9]việc CHV Mẫu 06'!$J$15</f>
        <v>16</v>
      </c>
      <c r="K75" s="503">
        <f>'[9]việc CHV Mẫu 06'!$K$15</f>
        <v>0</v>
      </c>
      <c r="L75" s="473">
        <f t="shared" si="9"/>
        <v>150</v>
      </c>
      <c r="M75" s="503">
        <f>'[9]việc CHV Mẫu 06'!$M$15</f>
        <v>0</v>
      </c>
      <c r="N75" s="503">
        <f>'[9]việc CHV Mẫu 06'!$N$15</f>
        <v>0</v>
      </c>
      <c r="O75" s="503">
        <f>-'[9]việc CHV Mẫu 06'!$O$15</f>
        <v>0</v>
      </c>
      <c r="P75" s="504">
        <f>'[9]việc CHV Mẫu 06'!$P$15</f>
        <v>0</v>
      </c>
      <c r="Q75" s="505">
        <f>'[9]việc CHV Mẫu 06'!$Q$15</f>
        <v>47</v>
      </c>
      <c r="R75" s="550">
        <f t="shared" si="3"/>
        <v>197</v>
      </c>
      <c r="S75" s="378">
        <f t="shared" si="5"/>
        <v>0.0963855421686747</v>
      </c>
    </row>
    <row r="76" spans="1:19" ht="20.25" customHeight="1">
      <c r="A76" s="428" t="s">
        <v>516</v>
      </c>
      <c r="B76" s="436" t="s">
        <v>517</v>
      </c>
      <c r="C76" s="471">
        <f t="shared" si="2"/>
        <v>132</v>
      </c>
      <c r="D76" s="503">
        <v>110</v>
      </c>
      <c r="E76" s="503">
        <f>'[9]việc CHV Mẫu 06'!$E$16</f>
        <v>22</v>
      </c>
      <c r="F76" s="503">
        <f>'[9]việc CHV Mẫu 06'!$F$16</f>
        <v>0</v>
      </c>
      <c r="G76" s="503">
        <v>0</v>
      </c>
      <c r="H76" s="471">
        <f t="shared" si="6"/>
        <v>132</v>
      </c>
      <c r="I76" s="471">
        <f t="shared" si="7"/>
        <v>92</v>
      </c>
      <c r="J76" s="503">
        <f>'[9]việc CHV Mẫu 06'!$J$16</f>
        <v>11</v>
      </c>
      <c r="K76" s="503">
        <f>'[9]việc CHV Mẫu 06'!$K$16</f>
        <v>0</v>
      </c>
      <c r="L76" s="473">
        <f t="shared" si="9"/>
        <v>81</v>
      </c>
      <c r="M76" s="503">
        <f>'[9]việc CHV Mẫu 06'!$M$16</f>
        <v>0</v>
      </c>
      <c r="N76" s="503">
        <f>'[9]việc CHV Mẫu 06'!$N$16</f>
        <v>0</v>
      </c>
      <c r="O76" s="503">
        <f>'[9]việc CHV Mẫu 06'!$O$16</f>
        <v>0</v>
      </c>
      <c r="P76" s="504">
        <f>'[9]việc CHV Mẫu 06'!$P$16</f>
        <v>0</v>
      </c>
      <c r="Q76" s="505">
        <f>'[9]việc CHV Mẫu 06'!$Q$16</f>
        <v>40</v>
      </c>
      <c r="R76" s="550">
        <f aca="true" t="shared" si="21" ref="R76:R94">H76-J76-K76</f>
        <v>121</v>
      </c>
      <c r="S76" s="378">
        <f aca="true" t="shared" si="22" ref="S76:S94">(J76+K76)/I76</f>
        <v>0.11956521739130435</v>
      </c>
    </row>
    <row r="77" spans="1:19" ht="20.25" customHeight="1">
      <c r="A77" s="428" t="s">
        <v>518</v>
      </c>
      <c r="B77" s="436" t="s">
        <v>519</v>
      </c>
      <c r="C77" s="471">
        <f t="shared" si="2"/>
        <v>97</v>
      </c>
      <c r="D77" s="503">
        <v>66</v>
      </c>
      <c r="E77" s="503">
        <f>'[9]việc CHV Mẫu 06'!$E$17</f>
        <v>31</v>
      </c>
      <c r="F77" s="503">
        <f>'[9]việc CHV Mẫu 06'!$F$17</f>
        <v>0</v>
      </c>
      <c r="G77" s="503">
        <v>0</v>
      </c>
      <c r="H77" s="471">
        <f t="shared" si="6"/>
        <v>97</v>
      </c>
      <c r="I77" s="471">
        <f t="shared" si="7"/>
        <v>78</v>
      </c>
      <c r="J77" s="503">
        <f>'[9]việc CHV Mẫu 06'!$J$17</f>
        <v>13</v>
      </c>
      <c r="K77" s="503">
        <f>'[9]việc CHV Mẫu 06'!$K$17</f>
        <v>0</v>
      </c>
      <c r="L77" s="473">
        <f t="shared" si="9"/>
        <v>64</v>
      </c>
      <c r="M77" s="503">
        <f>'[9]việc CHV Mẫu 06'!$M$17</f>
        <v>1</v>
      </c>
      <c r="N77" s="503">
        <f>'[9]việc CHV Mẫu 06'!$N$17</f>
        <v>0</v>
      </c>
      <c r="O77" s="503">
        <f>'[9]việc CHV Mẫu 06'!$O$17</f>
        <v>0</v>
      </c>
      <c r="P77" s="504">
        <f>'[9]việc CHV Mẫu 06'!$P$17</f>
        <v>0</v>
      </c>
      <c r="Q77" s="505">
        <f>'[9]việc CHV Mẫu 06'!$Q$17</f>
        <v>19</v>
      </c>
      <c r="R77" s="550">
        <f t="shared" si="21"/>
        <v>84</v>
      </c>
      <c r="S77" s="378">
        <f t="shared" si="22"/>
        <v>0.16666666666666666</v>
      </c>
    </row>
    <row r="78" spans="1:19" ht="20.25" customHeight="1">
      <c r="A78" s="428" t="s">
        <v>520</v>
      </c>
      <c r="B78" s="436" t="s">
        <v>521</v>
      </c>
      <c r="C78" s="471">
        <f t="shared" si="2"/>
        <v>186</v>
      </c>
      <c r="D78" s="503">
        <v>152</v>
      </c>
      <c r="E78" s="503">
        <f>'[9]việc CHV Mẫu 06'!$E$18</f>
        <v>34</v>
      </c>
      <c r="F78" s="503">
        <f>'[9]việc CHV Mẫu 06'!$F$18</f>
        <v>0</v>
      </c>
      <c r="G78" s="503">
        <v>0</v>
      </c>
      <c r="H78" s="471">
        <f aca="true" t="shared" si="23" ref="H78:H94">C78-F78</f>
        <v>186</v>
      </c>
      <c r="I78" s="471">
        <f t="shared" si="7"/>
        <v>119</v>
      </c>
      <c r="J78" s="503">
        <f>'[9]việc CHV Mẫu 06'!$J$18</f>
        <v>13</v>
      </c>
      <c r="K78" s="503">
        <f>'[9]việc CHV Mẫu 06'!$K$18</f>
        <v>1</v>
      </c>
      <c r="L78" s="473">
        <f aca="true" t="shared" si="24" ref="L78:L94">I78-J78-K78-M78-N78-O78-P78</f>
        <v>96</v>
      </c>
      <c r="M78" s="503">
        <f>'[9]việc CHV Mẫu 06'!$M$18</f>
        <v>8</v>
      </c>
      <c r="N78" s="503">
        <f>'[9]việc CHV Mẫu 06'!$N$18</f>
        <v>1</v>
      </c>
      <c r="O78" s="503">
        <f>'[9]việc CHV Mẫu 06'!$O$18</f>
        <v>0</v>
      </c>
      <c r="P78" s="504">
        <f>'[9]việc CHV Mẫu 06'!$P$18</f>
        <v>0</v>
      </c>
      <c r="Q78" s="505">
        <f>'[9]việc CHV Mẫu 06'!$Q$18</f>
        <v>67</v>
      </c>
      <c r="R78" s="550">
        <f t="shared" si="21"/>
        <v>172</v>
      </c>
      <c r="S78" s="378">
        <f t="shared" si="22"/>
        <v>0.11764705882352941</v>
      </c>
    </row>
    <row r="79" spans="1:19" ht="20.25" customHeight="1">
      <c r="A79" s="430" t="s">
        <v>63</v>
      </c>
      <c r="B79" s="431" t="s">
        <v>522</v>
      </c>
      <c r="C79" s="471">
        <f t="shared" si="2"/>
        <v>596</v>
      </c>
      <c r="D79" s="471">
        <f>D80+D81+D82+D83</f>
        <v>418</v>
      </c>
      <c r="E79" s="471">
        <f aca="true" t="shared" si="25" ref="E79:Q79">E80+E81+E82+E83</f>
        <v>178</v>
      </c>
      <c r="F79" s="471">
        <f t="shared" si="25"/>
        <v>0</v>
      </c>
      <c r="G79" s="471">
        <f t="shared" si="25"/>
        <v>0</v>
      </c>
      <c r="H79" s="471">
        <f t="shared" si="25"/>
        <v>596</v>
      </c>
      <c r="I79" s="471">
        <f t="shared" si="25"/>
        <v>426</v>
      </c>
      <c r="J79" s="471">
        <f t="shared" si="25"/>
        <v>67</v>
      </c>
      <c r="K79" s="471">
        <f t="shared" si="25"/>
        <v>0</v>
      </c>
      <c r="L79" s="473">
        <f t="shared" si="24"/>
        <v>354</v>
      </c>
      <c r="M79" s="471">
        <f t="shared" si="25"/>
        <v>3</v>
      </c>
      <c r="N79" s="471">
        <f t="shared" si="25"/>
        <v>2</v>
      </c>
      <c r="O79" s="471">
        <f t="shared" si="25"/>
        <v>0</v>
      </c>
      <c r="P79" s="471">
        <f t="shared" si="25"/>
        <v>0</v>
      </c>
      <c r="Q79" s="471">
        <f t="shared" si="25"/>
        <v>170</v>
      </c>
      <c r="R79" s="550">
        <f t="shared" si="21"/>
        <v>529</v>
      </c>
      <c r="S79" s="378">
        <f t="shared" si="22"/>
        <v>0.1572769953051643</v>
      </c>
    </row>
    <row r="80" spans="1:19" ht="20.25" customHeight="1">
      <c r="A80" s="428" t="s">
        <v>523</v>
      </c>
      <c r="B80" s="437" t="s">
        <v>524</v>
      </c>
      <c r="C80" s="471">
        <f t="shared" si="2"/>
        <v>21</v>
      </c>
      <c r="D80" s="469">
        <v>0</v>
      </c>
      <c r="E80" s="494">
        <f>'[14]Mẫu BC việc theo CHV Mẫu 06'!$E$14+9</f>
        <v>21</v>
      </c>
      <c r="F80" s="494">
        <f>'[14]Mẫu BC việc theo CHV Mẫu 06'!$F$14</f>
        <v>0</v>
      </c>
      <c r="G80" s="494">
        <v>0</v>
      </c>
      <c r="H80" s="471">
        <f t="shared" si="23"/>
        <v>21</v>
      </c>
      <c r="I80" s="471">
        <f t="shared" si="7"/>
        <v>21</v>
      </c>
      <c r="J80" s="494">
        <f>'[14]Mẫu BC việc theo CHV Mẫu 06'!$J$14+15</f>
        <v>21</v>
      </c>
      <c r="K80" s="494">
        <f>'[14]Mẫu BC việc theo CHV Mẫu 06'!$K$14</f>
        <v>0</v>
      </c>
      <c r="L80" s="473">
        <f t="shared" si="24"/>
        <v>0</v>
      </c>
      <c r="M80" s="494">
        <f>'[14]Mẫu BC việc theo CHV Mẫu 06'!$M$14</f>
        <v>0</v>
      </c>
      <c r="N80" s="494">
        <f>'[14]Mẫu BC việc theo CHV Mẫu 06'!$N$14</f>
        <v>0</v>
      </c>
      <c r="O80" s="494">
        <f>'[14]Mẫu BC việc theo CHV Mẫu 06'!$O$14</f>
        <v>0</v>
      </c>
      <c r="P80" s="506">
        <f>'[14]Mẫu BC việc theo CHV Mẫu 06'!$P$14</f>
        <v>0</v>
      </c>
      <c r="Q80" s="507">
        <f>'[14]Mẫu BC việc theo CHV Mẫu 06'!$Q$14</f>
        <v>0</v>
      </c>
      <c r="R80" s="550">
        <f t="shared" si="21"/>
        <v>0</v>
      </c>
      <c r="S80" s="378">
        <f t="shared" si="22"/>
        <v>1</v>
      </c>
    </row>
    <row r="81" spans="1:19" ht="20.25" customHeight="1">
      <c r="A81" s="428" t="s">
        <v>525</v>
      </c>
      <c r="B81" s="437" t="s">
        <v>526</v>
      </c>
      <c r="C81" s="471">
        <f t="shared" si="2"/>
        <v>119</v>
      </c>
      <c r="D81" s="469">
        <f>41+51</f>
        <v>92</v>
      </c>
      <c r="E81" s="494">
        <f>'[14]Mẫu BC việc theo CHV Mẫu 06'!$E$15+9</f>
        <v>27</v>
      </c>
      <c r="F81" s="494">
        <f>'[14]Mẫu BC việc theo CHV Mẫu 06'!$F$15</f>
        <v>0</v>
      </c>
      <c r="G81" s="494">
        <v>0</v>
      </c>
      <c r="H81" s="471">
        <f t="shared" si="23"/>
        <v>119</v>
      </c>
      <c r="I81" s="471">
        <f t="shared" si="7"/>
        <v>81</v>
      </c>
      <c r="J81" s="494">
        <f>'[14]Mẫu BC việc theo CHV Mẫu 06'!$J$15+5</f>
        <v>10</v>
      </c>
      <c r="K81" s="494">
        <f>'[14]Mẫu BC việc theo CHV Mẫu 06'!$K$15</f>
        <v>0</v>
      </c>
      <c r="L81" s="473">
        <f t="shared" si="24"/>
        <v>69</v>
      </c>
      <c r="M81" s="494">
        <f>'[14]Mẫu BC việc theo CHV Mẫu 06'!$M$15</f>
        <v>0</v>
      </c>
      <c r="N81" s="494">
        <f>'[14]Mẫu BC việc theo CHV Mẫu 06'!$N$15</f>
        <v>2</v>
      </c>
      <c r="O81" s="494">
        <f>'[14]Mẫu BC việc theo CHV Mẫu 06'!$O$15</f>
        <v>0</v>
      </c>
      <c r="P81" s="506">
        <f>'[14]Mẫu BC việc theo CHV Mẫu 06'!$P$15</f>
        <v>0</v>
      </c>
      <c r="Q81" s="507">
        <f>'[14]Mẫu BC việc theo CHV Mẫu 06'!$Q$15</f>
        <v>38</v>
      </c>
      <c r="R81" s="550">
        <f t="shared" si="21"/>
        <v>109</v>
      </c>
      <c r="S81" s="378">
        <f t="shared" si="22"/>
        <v>0.12345679012345678</v>
      </c>
    </row>
    <row r="82" spans="1:19" ht="20.25" customHeight="1">
      <c r="A82" s="428" t="s">
        <v>527</v>
      </c>
      <c r="B82" s="437" t="s">
        <v>561</v>
      </c>
      <c r="C82" s="471">
        <f t="shared" si="2"/>
        <v>199</v>
      </c>
      <c r="D82" s="469">
        <f>80+56</f>
        <v>136</v>
      </c>
      <c r="E82" s="494">
        <f>'[14]Mẫu BC việc theo CHV Mẫu 06'!$E$16+23</f>
        <v>63</v>
      </c>
      <c r="F82" s="494">
        <f>'[14]Mẫu BC việc theo CHV Mẫu 06'!$F$16</f>
        <v>0</v>
      </c>
      <c r="G82" s="494"/>
      <c r="H82" s="471">
        <f t="shared" si="23"/>
        <v>199</v>
      </c>
      <c r="I82" s="471">
        <f t="shared" si="7"/>
        <v>151</v>
      </c>
      <c r="J82" s="494">
        <f>'[14]Mẫu BC việc theo CHV Mẫu 06'!$J$16+7</f>
        <v>19</v>
      </c>
      <c r="K82" s="494">
        <f>'[14]Mẫu BC việc theo CHV Mẫu 06'!$K$16</f>
        <v>0</v>
      </c>
      <c r="L82" s="473">
        <f t="shared" si="24"/>
        <v>132</v>
      </c>
      <c r="M82" s="494">
        <f>'[14]Mẫu BC việc theo CHV Mẫu 06'!$M$16</f>
        <v>0</v>
      </c>
      <c r="N82" s="494">
        <f>'[14]Mẫu BC việc theo CHV Mẫu 06'!$N$16</f>
        <v>0</v>
      </c>
      <c r="O82" s="494">
        <f>'[14]Mẫu BC việc theo CHV Mẫu 06'!$O$16</f>
        <v>0</v>
      </c>
      <c r="P82" s="506">
        <f>'[14]Mẫu BC việc theo CHV Mẫu 06'!$P$16</f>
        <v>0</v>
      </c>
      <c r="Q82" s="507">
        <f>'[14]Mẫu BC việc theo CHV Mẫu 06'!$Q$16</f>
        <v>48</v>
      </c>
      <c r="R82" s="550">
        <f t="shared" si="21"/>
        <v>180</v>
      </c>
      <c r="S82" s="378">
        <f t="shared" si="22"/>
        <v>0.12582781456953643</v>
      </c>
    </row>
    <row r="83" spans="1:19" ht="20.25" customHeight="1">
      <c r="A83" s="428" t="s">
        <v>560</v>
      </c>
      <c r="B83" s="437" t="s">
        <v>528</v>
      </c>
      <c r="C83" s="471">
        <f t="shared" si="2"/>
        <v>257</v>
      </c>
      <c r="D83" s="469">
        <f>108+82</f>
        <v>190</v>
      </c>
      <c r="E83" s="494">
        <f>'[14]Mẫu BC việc theo CHV Mẫu 06'!$E$17+21</f>
        <v>67</v>
      </c>
      <c r="F83" s="494">
        <f>'[14]Mẫu BC việc theo CHV Mẫu 06'!$F$17</f>
        <v>0</v>
      </c>
      <c r="G83" s="494">
        <v>0</v>
      </c>
      <c r="H83" s="471">
        <f t="shared" si="23"/>
        <v>257</v>
      </c>
      <c r="I83" s="471">
        <f t="shared" si="7"/>
        <v>173</v>
      </c>
      <c r="J83" s="494">
        <f>'[14]Mẫu BC việc theo CHV Mẫu 06'!$J$17+11</f>
        <v>17</v>
      </c>
      <c r="K83" s="494">
        <f>'[14]Mẫu BC việc theo CHV Mẫu 06'!$K$17</f>
        <v>0</v>
      </c>
      <c r="L83" s="473">
        <f t="shared" si="24"/>
        <v>153</v>
      </c>
      <c r="M83" s="494">
        <f>'[14]Mẫu BC việc theo CHV Mẫu 06'!$M$17</f>
        <v>3</v>
      </c>
      <c r="N83" s="494">
        <f>'[14]Mẫu BC việc theo CHV Mẫu 06'!$N$17</f>
        <v>0</v>
      </c>
      <c r="O83" s="494">
        <f>'[14]Mẫu BC việc theo CHV Mẫu 06'!$O$17</f>
        <v>0</v>
      </c>
      <c r="P83" s="506">
        <f>'[14]Mẫu BC việc theo CHV Mẫu 06'!$P$17</f>
        <v>0</v>
      </c>
      <c r="Q83" s="507">
        <f>'[14]Mẫu BC việc theo CHV Mẫu 06'!$Q$17</f>
        <v>84</v>
      </c>
      <c r="R83" s="550">
        <f t="shared" si="21"/>
        <v>240</v>
      </c>
      <c r="S83" s="378">
        <f t="shared" si="22"/>
        <v>0.09826589595375723</v>
      </c>
    </row>
    <row r="84" spans="1:19" ht="20.25" customHeight="1">
      <c r="A84" s="430" t="s">
        <v>83</v>
      </c>
      <c r="B84" s="431" t="s">
        <v>529</v>
      </c>
      <c r="C84" s="471">
        <f t="shared" si="2"/>
        <v>204</v>
      </c>
      <c r="D84" s="471">
        <f>D85+D86+D87</f>
        <v>143</v>
      </c>
      <c r="E84" s="471">
        <f aca="true" t="shared" si="26" ref="E84:Q84">E85+E86+E87</f>
        <v>61</v>
      </c>
      <c r="F84" s="471">
        <f t="shared" si="26"/>
        <v>0</v>
      </c>
      <c r="G84" s="471">
        <f t="shared" si="26"/>
        <v>0</v>
      </c>
      <c r="H84" s="471">
        <f t="shared" si="26"/>
        <v>204</v>
      </c>
      <c r="I84" s="471">
        <f t="shared" si="26"/>
        <v>128</v>
      </c>
      <c r="J84" s="471">
        <f t="shared" si="26"/>
        <v>15</v>
      </c>
      <c r="K84" s="471">
        <f t="shared" si="26"/>
        <v>0</v>
      </c>
      <c r="L84" s="473">
        <f t="shared" si="24"/>
        <v>112</v>
      </c>
      <c r="M84" s="471">
        <f t="shared" si="26"/>
        <v>0</v>
      </c>
      <c r="N84" s="471">
        <f t="shared" si="26"/>
        <v>0</v>
      </c>
      <c r="O84" s="471">
        <f t="shared" si="26"/>
        <v>0</v>
      </c>
      <c r="P84" s="471">
        <f t="shared" si="26"/>
        <v>1</v>
      </c>
      <c r="Q84" s="471">
        <f t="shared" si="26"/>
        <v>76</v>
      </c>
      <c r="R84" s="550">
        <f t="shared" si="21"/>
        <v>189</v>
      </c>
      <c r="S84" s="378">
        <f t="shared" si="22"/>
        <v>0.1171875</v>
      </c>
    </row>
    <row r="85" spans="1:19" ht="20.25" customHeight="1">
      <c r="A85" s="428" t="s">
        <v>530</v>
      </c>
      <c r="B85" s="438" t="s">
        <v>532</v>
      </c>
      <c r="C85" s="471">
        <f t="shared" si="2"/>
        <v>170</v>
      </c>
      <c r="D85" s="508">
        <v>143</v>
      </c>
      <c r="E85" s="508">
        <f>'[16]Mẫu BC việc theo CHV Mẫu 06'!$E$15</f>
        <v>27</v>
      </c>
      <c r="F85" s="508">
        <f>'[16]Mẫu BC việc theo CHV Mẫu 06'!$F$15</f>
        <v>0</v>
      </c>
      <c r="G85" s="494">
        <v>0</v>
      </c>
      <c r="H85" s="471">
        <f t="shared" si="23"/>
        <v>170</v>
      </c>
      <c r="I85" s="471">
        <f t="shared" si="7"/>
        <v>168</v>
      </c>
      <c r="J85" s="508">
        <f>'[16]Mẫu BC việc theo CHV Mẫu 06'!$J$15</f>
        <v>1</v>
      </c>
      <c r="K85" s="508">
        <f>'[16]Mẫu BC việc theo CHV Mẫu 06'!$K$15</f>
        <v>0</v>
      </c>
      <c r="L85" s="473">
        <f t="shared" si="24"/>
        <v>166</v>
      </c>
      <c r="M85" s="508">
        <f>'[16]Mẫu BC việc theo CHV Mẫu 06'!$M$15</f>
        <v>0</v>
      </c>
      <c r="N85" s="508">
        <f>'[16]Mẫu BC việc theo CHV Mẫu 06'!$N$15</f>
        <v>0</v>
      </c>
      <c r="O85" s="508">
        <f>'[16]Mẫu BC việc theo CHV Mẫu 06'!$O$15</f>
        <v>0</v>
      </c>
      <c r="P85" s="508">
        <f>'[16]Mẫu BC việc theo CHV Mẫu 06'!$P$15</f>
        <v>1</v>
      </c>
      <c r="Q85" s="508">
        <f>'[16]Mẫu BC việc theo CHV Mẫu 06'!$Q$15</f>
        <v>2</v>
      </c>
      <c r="R85" s="550">
        <f t="shared" si="21"/>
        <v>169</v>
      </c>
      <c r="S85" s="378">
        <f t="shared" si="22"/>
        <v>0.005952380952380952</v>
      </c>
    </row>
    <row r="86" spans="1:19" ht="20.25" customHeight="1">
      <c r="A86" s="428"/>
      <c r="B86" s="438"/>
      <c r="C86" s="471">
        <f t="shared" si="2"/>
        <v>3</v>
      </c>
      <c r="D86" s="509"/>
      <c r="E86" s="508" t="str">
        <f>'[16]Mẫu BC việc theo CHV Mẫu 06'!$E$16</f>
        <v>3</v>
      </c>
      <c r="F86" s="508" t="str">
        <f>'[16]Mẫu BC việc theo CHV Mẫu 06'!$F$16</f>
        <v>0</v>
      </c>
      <c r="G86" s="494"/>
      <c r="H86" s="471">
        <f t="shared" si="23"/>
        <v>3</v>
      </c>
      <c r="I86" s="471">
        <f t="shared" si="7"/>
        <v>-31</v>
      </c>
      <c r="J86" s="508" t="str">
        <f>'[16]Mẫu BC việc theo CHV Mẫu 06'!$J$16</f>
        <v>2</v>
      </c>
      <c r="K86" s="508" t="str">
        <f>'[16]Mẫu BC việc theo CHV Mẫu 06'!$K$16</f>
        <v>0</v>
      </c>
      <c r="L86" s="473">
        <f t="shared" si="24"/>
        <v>-33</v>
      </c>
      <c r="M86" s="508" t="str">
        <f>'[16]Mẫu BC việc theo CHV Mẫu 06'!$M$16</f>
        <v>0</v>
      </c>
      <c r="N86" s="508" t="str">
        <f>'[16]Mẫu BC việc theo CHV Mẫu 06'!$N$16</f>
        <v>0</v>
      </c>
      <c r="O86" s="508" t="str">
        <f>'[16]Mẫu BC việc theo CHV Mẫu 06'!$O$16</f>
        <v>0</v>
      </c>
      <c r="P86" s="508" t="str">
        <f>'[16]Mẫu BC việc theo CHV Mẫu 06'!$P$16</f>
        <v>0</v>
      </c>
      <c r="Q86" s="508" t="str">
        <f>'[16]Mẫu BC việc theo CHV Mẫu 06'!$Q$16</f>
        <v>34</v>
      </c>
      <c r="R86" s="550">
        <f t="shared" si="21"/>
        <v>1</v>
      </c>
      <c r="S86" s="378"/>
    </row>
    <row r="87" spans="1:19" ht="20.25" customHeight="1">
      <c r="A87" s="428"/>
      <c r="B87" s="439"/>
      <c r="C87" s="471">
        <f t="shared" si="2"/>
        <v>31</v>
      </c>
      <c r="D87" s="509"/>
      <c r="E87" s="508" t="str">
        <f>'[16]Mẫu BC việc theo CHV Mẫu 06'!$E$17</f>
        <v>31</v>
      </c>
      <c r="F87" s="508" t="str">
        <f>'[16]Mẫu BC việc theo CHV Mẫu 06'!$F$17</f>
        <v>0</v>
      </c>
      <c r="G87" s="494">
        <v>0</v>
      </c>
      <c r="H87" s="471">
        <f t="shared" si="23"/>
        <v>31</v>
      </c>
      <c r="I87" s="471">
        <f t="shared" si="7"/>
        <v>-9</v>
      </c>
      <c r="J87" s="508" t="str">
        <f>'[16]Mẫu BC việc theo CHV Mẫu 06'!$J$17</f>
        <v>12</v>
      </c>
      <c r="K87" s="508" t="str">
        <f>'[16]Mẫu BC việc theo CHV Mẫu 06'!$K$17</f>
        <v>0</v>
      </c>
      <c r="L87" s="473">
        <f t="shared" si="24"/>
        <v>-21</v>
      </c>
      <c r="M87" s="508" t="str">
        <f>'[16]Mẫu BC việc theo CHV Mẫu 06'!$M$17</f>
        <v>0</v>
      </c>
      <c r="N87" s="508" t="str">
        <f>'[16]Mẫu BC việc theo CHV Mẫu 06'!$N$17</f>
        <v>0</v>
      </c>
      <c r="O87" s="508" t="str">
        <f>'[16]Mẫu BC việc theo CHV Mẫu 06'!$O$17</f>
        <v>0</v>
      </c>
      <c r="P87" s="508" t="str">
        <f>'[16]Mẫu BC việc theo CHV Mẫu 06'!$P$17</f>
        <v>0</v>
      </c>
      <c r="Q87" s="508" t="str">
        <f>'[16]Mẫu BC việc theo CHV Mẫu 06'!$Q$17</f>
        <v>40</v>
      </c>
      <c r="R87" s="550">
        <f t="shared" si="21"/>
        <v>19</v>
      </c>
      <c r="S87" s="378"/>
    </row>
    <row r="88" spans="1:19" ht="20.25" customHeight="1">
      <c r="A88" s="430" t="s">
        <v>84</v>
      </c>
      <c r="B88" s="431" t="s">
        <v>534</v>
      </c>
      <c r="C88" s="471">
        <f t="shared" si="2"/>
        <v>223</v>
      </c>
      <c r="D88" s="471">
        <f>D89+D90+D91</f>
        <v>157</v>
      </c>
      <c r="E88" s="471">
        <f aca="true" t="shared" si="27" ref="E88:Q88">E89+E90+E91</f>
        <v>66</v>
      </c>
      <c r="F88" s="471">
        <f t="shared" si="27"/>
        <v>0</v>
      </c>
      <c r="G88" s="471">
        <f t="shared" si="27"/>
        <v>0</v>
      </c>
      <c r="H88" s="471">
        <f t="shared" si="27"/>
        <v>223</v>
      </c>
      <c r="I88" s="471">
        <f t="shared" si="27"/>
        <v>134</v>
      </c>
      <c r="J88" s="471">
        <f t="shared" si="27"/>
        <v>42</v>
      </c>
      <c r="K88" s="471">
        <f t="shared" si="27"/>
        <v>1</v>
      </c>
      <c r="L88" s="473">
        <f t="shared" si="24"/>
        <v>88</v>
      </c>
      <c r="M88" s="471">
        <f t="shared" si="27"/>
        <v>3</v>
      </c>
      <c r="N88" s="471">
        <f t="shared" si="27"/>
        <v>0</v>
      </c>
      <c r="O88" s="471">
        <f t="shared" si="27"/>
        <v>0</v>
      </c>
      <c r="P88" s="471">
        <f t="shared" si="27"/>
        <v>0</v>
      </c>
      <c r="Q88" s="471">
        <f t="shared" si="27"/>
        <v>89</v>
      </c>
      <c r="R88" s="550">
        <f t="shared" si="21"/>
        <v>180</v>
      </c>
      <c r="S88" s="378">
        <f t="shared" si="22"/>
        <v>0.3208955223880597</v>
      </c>
    </row>
    <row r="89" spans="1:19" ht="20.25" customHeight="1">
      <c r="A89" s="428" t="s">
        <v>535</v>
      </c>
      <c r="B89" s="432" t="s">
        <v>536</v>
      </c>
      <c r="C89" s="471">
        <f t="shared" si="2"/>
        <v>76</v>
      </c>
      <c r="D89" s="477">
        <v>47</v>
      </c>
      <c r="E89" s="477">
        <f>'[12]06'!$E$13</f>
        <v>29</v>
      </c>
      <c r="F89" s="477">
        <f>'[12]06'!$F$13</f>
        <v>0</v>
      </c>
      <c r="G89" s="477"/>
      <c r="H89" s="471">
        <f t="shared" si="23"/>
        <v>76</v>
      </c>
      <c r="I89" s="471">
        <f t="shared" si="7"/>
        <v>55</v>
      </c>
      <c r="J89" s="477">
        <f>'[12]06'!$J$13</f>
        <v>19</v>
      </c>
      <c r="K89" s="477">
        <f>'[12]06'!$K$13</f>
        <v>0</v>
      </c>
      <c r="L89" s="473">
        <f t="shared" si="24"/>
        <v>36</v>
      </c>
      <c r="M89" s="477">
        <f>'[12]06'!$M$13</f>
        <v>0</v>
      </c>
      <c r="N89" s="477">
        <f>'[12]06'!$N$13</f>
        <v>0</v>
      </c>
      <c r="O89" s="477">
        <f>'[12]06'!$O$12</f>
        <v>0</v>
      </c>
      <c r="P89" s="477">
        <f>'[12]06'!$P$12</f>
        <v>0</v>
      </c>
      <c r="Q89" s="477">
        <f>'[12]06'!$Q$13</f>
        <v>21</v>
      </c>
      <c r="R89" s="550">
        <f t="shared" si="21"/>
        <v>57</v>
      </c>
      <c r="S89" s="378">
        <f t="shared" si="22"/>
        <v>0.34545454545454546</v>
      </c>
    </row>
    <row r="90" spans="1:19" ht="20.25" customHeight="1">
      <c r="A90" s="428" t="s">
        <v>537</v>
      </c>
      <c r="B90" s="432" t="s">
        <v>538</v>
      </c>
      <c r="C90" s="471">
        <f t="shared" si="2"/>
        <v>99</v>
      </c>
      <c r="D90" s="477">
        <v>71</v>
      </c>
      <c r="E90" s="477">
        <f>'[12]06'!$E$14</f>
        <v>28</v>
      </c>
      <c r="F90" s="477">
        <f>'[12]06'!$F$14</f>
        <v>0</v>
      </c>
      <c r="G90" s="477">
        <v>0</v>
      </c>
      <c r="H90" s="471">
        <f t="shared" si="23"/>
        <v>99</v>
      </c>
      <c r="I90" s="471">
        <f t="shared" si="7"/>
        <v>52</v>
      </c>
      <c r="J90" s="477">
        <f>'[12]06'!$J$14</f>
        <v>14</v>
      </c>
      <c r="K90" s="510">
        <f>'[12]06'!$K$14</f>
        <v>1</v>
      </c>
      <c r="L90" s="473">
        <f t="shared" si="24"/>
        <v>34</v>
      </c>
      <c r="M90" s="477">
        <f>'[12]06'!$M$14</f>
        <v>3</v>
      </c>
      <c r="N90" s="477">
        <f>'[12]06'!$N$14</f>
        <v>0</v>
      </c>
      <c r="O90" s="477">
        <f>'[12]06'!$O$14</f>
        <v>0</v>
      </c>
      <c r="P90" s="477">
        <f>'[12]06'!$P$14</f>
        <v>0</v>
      </c>
      <c r="Q90" s="479">
        <f>'[12]06'!$Q$14</f>
        <v>47</v>
      </c>
      <c r="R90" s="550">
        <f t="shared" si="21"/>
        <v>84</v>
      </c>
      <c r="S90" s="378">
        <f t="shared" si="22"/>
        <v>0.28846153846153844</v>
      </c>
    </row>
    <row r="91" spans="1:19" ht="20.25" customHeight="1">
      <c r="A91" s="440" t="s">
        <v>539</v>
      </c>
      <c r="B91" s="432" t="s">
        <v>540</v>
      </c>
      <c r="C91" s="471">
        <f t="shared" si="2"/>
        <v>48</v>
      </c>
      <c r="D91" s="477">
        <v>39</v>
      </c>
      <c r="E91" s="477">
        <f>'[12]06'!$E$15</f>
        <v>9</v>
      </c>
      <c r="F91" s="477">
        <f>'[12]06'!$F$15</f>
        <v>0</v>
      </c>
      <c r="G91" s="477">
        <v>0</v>
      </c>
      <c r="H91" s="471">
        <f t="shared" si="23"/>
        <v>48</v>
      </c>
      <c r="I91" s="471">
        <f t="shared" si="7"/>
        <v>27</v>
      </c>
      <c r="J91" s="477">
        <f>'[12]06'!$J$15</f>
        <v>9</v>
      </c>
      <c r="K91" s="477">
        <f>'[12]06'!$K$15</f>
        <v>0</v>
      </c>
      <c r="L91" s="473">
        <f t="shared" si="24"/>
        <v>18</v>
      </c>
      <c r="M91" s="477">
        <f>'[12]06'!$M$15</f>
        <v>0</v>
      </c>
      <c r="N91" s="477">
        <f>'[12]06'!$N$15</f>
        <v>0</v>
      </c>
      <c r="O91" s="477">
        <f>'[12]06'!$O$15</f>
        <v>0</v>
      </c>
      <c r="P91" s="477">
        <f>'[12]06'!$P$15</f>
        <v>0</v>
      </c>
      <c r="Q91" s="479">
        <f>'[12]06'!$Q$15</f>
        <v>21</v>
      </c>
      <c r="R91" s="550">
        <f t="shared" si="21"/>
        <v>39</v>
      </c>
      <c r="S91" s="378">
        <f t="shared" si="22"/>
        <v>0.3333333333333333</v>
      </c>
    </row>
    <row r="92" spans="1:19" ht="20.25" customHeight="1">
      <c r="A92" s="430" t="s">
        <v>85</v>
      </c>
      <c r="B92" s="431" t="s">
        <v>541</v>
      </c>
      <c r="C92" s="471">
        <f t="shared" si="2"/>
        <v>234</v>
      </c>
      <c r="D92" s="471">
        <f>D93+D94</f>
        <v>201</v>
      </c>
      <c r="E92" s="471">
        <f aca="true" t="shared" si="28" ref="E92:Q92">E93+E94</f>
        <v>33</v>
      </c>
      <c r="F92" s="471">
        <f t="shared" si="28"/>
        <v>0</v>
      </c>
      <c r="G92" s="471">
        <f t="shared" si="28"/>
        <v>0</v>
      </c>
      <c r="H92" s="471">
        <f t="shared" si="28"/>
        <v>234</v>
      </c>
      <c r="I92" s="471">
        <f t="shared" si="28"/>
        <v>184</v>
      </c>
      <c r="J92" s="471">
        <f t="shared" si="28"/>
        <v>23</v>
      </c>
      <c r="K92" s="471">
        <f t="shared" si="28"/>
        <v>0</v>
      </c>
      <c r="L92" s="473">
        <f t="shared" si="24"/>
        <v>161</v>
      </c>
      <c r="M92" s="471">
        <f t="shared" si="28"/>
        <v>0</v>
      </c>
      <c r="N92" s="471">
        <f t="shared" si="28"/>
        <v>0</v>
      </c>
      <c r="O92" s="471">
        <f t="shared" si="28"/>
        <v>0</v>
      </c>
      <c r="P92" s="471">
        <f t="shared" si="28"/>
        <v>0</v>
      </c>
      <c r="Q92" s="471">
        <f t="shared" si="28"/>
        <v>50</v>
      </c>
      <c r="R92" s="550">
        <f t="shared" si="21"/>
        <v>211</v>
      </c>
      <c r="S92" s="378">
        <f t="shared" si="22"/>
        <v>0.125</v>
      </c>
    </row>
    <row r="93" spans="1:19" ht="20.25" customHeight="1">
      <c r="A93" s="428" t="s">
        <v>542</v>
      </c>
      <c r="B93" s="432" t="s">
        <v>543</v>
      </c>
      <c r="C93" s="471">
        <f t="shared" si="2"/>
        <v>84</v>
      </c>
      <c r="D93" s="472">
        <v>72</v>
      </c>
      <c r="E93" s="472">
        <f>'[11]việc CHV Mẫu 06'!$E$13</f>
        <v>12</v>
      </c>
      <c r="F93" s="472">
        <f>'[11]việc CHV Mẫu 06'!$F$13</f>
        <v>0</v>
      </c>
      <c r="G93" s="472">
        <v>0</v>
      </c>
      <c r="H93" s="471">
        <f t="shared" si="23"/>
        <v>84</v>
      </c>
      <c r="I93" s="471">
        <f t="shared" si="7"/>
        <v>68</v>
      </c>
      <c r="J93" s="472">
        <f>'[11]việc CHV Mẫu 06'!$J$13</f>
        <v>6</v>
      </c>
      <c r="K93" s="472">
        <f>'[11]việc CHV Mẫu 06'!$K$13</f>
        <v>0</v>
      </c>
      <c r="L93" s="473">
        <f t="shared" si="24"/>
        <v>62</v>
      </c>
      <c r="M93" s="472">
        <f>'[11]việc CHV Mẫu 06'!$M$13</f>
        <v>0</v>
      </c>
      <c r="N93" s="472">
        <f>'[11]việc CHV Mẫu 06'!$N$13</f>
        <v>0</v>
      </c>
      <c r="O93" s="472">
        <f>'[11]việc CHV Mẫu 06'!$O$13</f>
        <v>0</v>
      </c>
      <c r="P93" s="472">
        <f>'[11]việc CHV Mẫu 06'!$P$13</f>
        <v>0</v>
      </c>
      <c r="Q93" s="474">
        <f>'[11]việc CHV Mẫu 06'!$Q$13</f>
        <v>16</v>
      </c>
      <c r="R93" s="550">
        <f t="shared" si="21"/>
        <v>78</v>
      </c>
      <c r="S93" s="378">
        <f t="shared" si="22"/>
        <v>0.08823529411764706</v>
      </c>
    </row>
    <row r="94" spans="1:19" ht="20.25" customHeight="1">
      <c r="A94" s="428" t="s">
        <v>544</v>
      </c>
      <c r="B94" s="432" t="s">
        <v>545</v>
      </c>
      <c r="C94" s="471">
        <f t="shared" si="2"/>
        <v>150</v>
      </c>
      <c r="D94" s="472">
        <v>129</v>
      </c>
      <c r="E94" s="472">
        <f>'[11]việc CHV Mẫu 06'!$E$14</f>
        <v>21</v>
      </c>
      <c r="F94" s="472">
        <f>'[11]việc CHV Mẫu 06'!$F$14</f>
        <v>0</v>
      </c>
      <c r="G94" s="472">
        <v>0</v>
      </c>
      <c r="H94" s="471">
        <f t="shared" si="23"/>
        <v>150</v>
      </c>
      <c r="I94" s="471">
        <f t="shared" si="7"/>
        <v>116</v>
      </c>
      <c r="J94" s="472">
        <f>'[11]việc CHV Mẫu 06'!$J$14</f>
        <v>17</v>
      </c>
      <c r="K94" s="472">
        <f>'[11]việc CHV Mẫu 06'!$K$14</f>
        <v>0</v>
      </c>
      <c r="L94" s="473">
        <f t="shared" si="24"/>
        <v>99</v>
      </c>
      <c r="M94" s="472">
        <f>'[11]việc CHV Mẫu 06'!$M$14</f>
        <v>0</v>
      </c>
      <c r="N94" s="472">
        <f>'[11]việc CHV Mẫu 06'!$N$14</f>
        <v>0</v>
      </c>
      <c r="O94" s="472">
        <f>'[11]việc CHV Mẫu 06'!$O$14</f>
        <v>0</v>
      </c>
      <c r="P94" s="472">
        <f>'[11]việc CHV Mẫu 06'!$P$14</f>
        <v>0</v>
      </c>
      <c r="Q94" s="474">
        <f>'[11]việc CHV Mẫu 06'!$Q$14</f>
        <v>34</v>
      </c>
      <c r="R94" s="550">
        <f t="shared" si="21"/>
        <v>133</v>
      </c>
      <c r="S94" s="378">
        <f t="shared" si="22"/>
        <v>0.14655172413793102</v>
      </c>
    </row>
    <row r="95" spans="1:19" s="380" customFormat="1" ht="29.25" customHeight="1">
      <c r="A95" s="868"/>
      <c r="B95" s="868"/>
      <c r="C95" s="868"/>
      <c r="D95" s="868"/>
      <c r="E95" s="868"/>
      <c r="F95" s="415"/>
      <c r="G95" s="415"/>
      <c r="H95" s="415"/>
      <c r="I95" s="415"/>
      <c r="J95" s="415"/>
      <c r="K95" s="415"/>
      <c r="L95" s="415"/>
      <c r="M95" s="415"/>
      <c r="N95" s="866" t="str">
        <f>'Thong tin'!B8</f>
        <v>Lâm Đồng, ngày 05 tháng 12 năm 2017</v>
      </c>
      <c r="O95" s="866"/>
      <c r="P95" s="866"/>
      <c r="Q95" s="866"/>
      <c r="R95" s="866"/>
      <c r="S95" s="866"/>
    </row>
    <row r="96" spans="1:19" s="381" customFormat="1" ht="19.5" customHeight="1">
      <c r="A96" s="417"/>
      <c r="B96" s="856" t="s">
        <v>4</v>
      </c>
      <c r="C96" s="856"/>
      <c r="D96" s="856"/>
      <c r="E96" s="856"/>
      <c r="F96" s="413"/>
      <c r="G96" s="413"/>
      <c r="H96" s="413"/>
      <c r="I96" s="413"/>
      <c r="J96" s="413"/>
      <c r="K96" s="413"/>
      <c r="L96" s="413"/>
      <c r="M96" s="413"/>
      <c r="N96" s="867" t="str">
        <f>'Thong tin'!B7</f>
        <v>CỤC TRƯỞNG</v>
      </c>
      <c r="O96" s="867"/>
      <c r="P96" s="867"/>
      <c r="Q96" s="867"/>
      <c r="R96" s="867"/>
      <c r="S96" s="867"/>
    </row>
    <row r="97" spans="1:19" ht="18.75">
      <c r="A97" s="411"/>
      <c r="B97" s="865"/>
      <c r="C97" s="865"/>
      <c r="D97" s="865"/>
      <c r="E97" s="412"/>
      <c r="F97" s="412"/>
      <c r="G97" s="412"/>
      <c r="H97" s="412"/>
      <c r="I97" s="412"/>
      <c r="J97" s="412"/>
      <c r="K97" s="412"/>
      <c r="L97" s="412"/>
      <c r="M97" s="412"/>
      <c r="N97" s="863"/>
      <c r="O97" s="863"/>
      <c r="P97" s="863"/>
      <c r="Q97" s="863"/>
      <c r="R97" s="863"/>
      <c r="S97" s="863"/>
    </row>
    <row r="98" spans="1:19" ht="18.75">
      <c r="A98" s="411"/>
      <c r="B98" s="863"/>
      <c r="C98" s="863"/>
      <c r="D98" s="863"/>
      <c r="E98" s="863"/>
      <c r="F98" s="412"/>
      <c r="G98" s="412"/>
      <c r="H98" s="412"/>
      <c r="I98" s="412"/>
      <c r="J98" s="412"/>
      <c r="K98" s="412"/>
      <c r="L98" s="412"/>
      <c r="M98" s="412"/>
      <c r="N98" s="412"/>
      <c r="O98" s="412"/>
      <c r="P98" s="863"/>
      <c r="Q98" s="863"/>
      <c r="R98" s="542"/>
      <c r="S98" s="411"/>
    </row>
    <row r="99" spans="1:19" ht="15.75" customHeight="1">
      <c r="A99" s="418"/>
      <c r="B99" s="411"/>
      <c r="C99" s="411"/>
      <c r="D99" s="412"/>
      <c r="E99" s="412"/>
      <c r="F99" s="412"/>
      <c r="G99" s="412"/>
      <c r="H99" s="412"/>
      <c r="I99" s="412"/>
      <c r="J99" s="412"/>
      <c r="K99" s="412"/>
      <c r="L99" s="412"/>
      <c r="M99" s="412"/>
      <c r="N99" s="412"/>
      <c r="O99" s="412"/>
      <c r="P99" s="412"/>
      <c r="Q99" s="412"/>
      <c r="R99" s="412"/>
      <c r="S99" s="411"/>
    </row>
    <row r="100" spans="1:19" ht="15.75" customHeight="1">
      <c r="A100" s="411"/>
      <c r="B100" s="864"/>
      <c r="C100" s="864"/>
      <c r="D100" s="864"/>
      <c r="E100" s="864"/>
      <c r="F100" s="864"/>
      <c r="G100" s="864"/>
      <c r="H100" s="864"/>
      <c r="I100" s="864"/>
      <c r="J100" s="864"/>
      <c r="K100" s="864"/>
      <c r="L100" s="864"/>
      <c r="M100" s="864"/>
      <c r="N100" s="864"/>
      <c r="O100" s="864"/>
      <c r="P100" s="412"/>
      <c r="Q100" s="412"/>
      <c r="R100" s="412"/>
      <c r="S100" s="411"/>
    </row>
    <row r="101" spans="1:19" ht="18.75">
      <c r="A101" s="414"/>
      <c r="B101" s="414"/>
      <c r="C101" s="414"/>
      <c r="D101" s="414"/>
      <c r="E101" s="414"/>
      <c r="F101" s="414"/>
      <c r="G101" s="414"/>
      <c r="H101" s="414"/>
      <c r="I101" s="414"/>
      <c r="J101" s="414"/>
      <c r="K101" s="414"/>
      <c r="L101" s="414"/>
      <c r="M101" s="414"/>
      <c r="N101" s="414"/>
      <c r="O101" s="414"/>
      <c r="P101" s="414"/>
      <c r="Q101" s="411"/>
      <c r="R101" s="411"/>
      <c r="S101" s="411"/>
    </row>
    <row r="102" spans="1:19" ht="18.75">
      <c r="A102" s="411"/>
      <c r="B102" s="411"/>
      <c r="C102" s="411"/>
      <c r="D102" s="411"/>
      <c r="E102" s="411"/>
      <c r="F102" s="411"/>
      <c r="G102" s="411"/>
      <c r="H102" s="411"/>
      <c r="I102" s="411"/>
      <c r="J102" s="411"/>
      <c r="K102" s="411"/>
      <c r="L102" s="411"/>
      <c r="M102" s="411"/>
      <c r="N102" s="411"/>
      <c r="O102" s="411"/>
      <c r="P102" s="411"/>
      <c r="Q102" s="411"/>
      <c r="R102" s="411"/>
      <c r="S102" s="411"/>
    </row>
    <row r="103" spans="1:19" ht="18.75">
      <c r="A103" s="411"/>
      <c r="B103" s="861" t="str">
        <f>'Thong tin'!B5</f>
        <v>Phạm Ngọc Hoa</v>
      </c>
      <c r="C103" s="861"/>
      <c r="D103" s="861"/>
      <c r="E103" s="861"/>
      <c r="F103" s="411"/>
      <c r="G103" s="411"/>
      <c r="H103" s="411"/>
      <c r="I103" s="411"/>
      <c r="J103" s="411"/>
      <c r="K103" s="411"/>
      <c r="L103" s="411"/>
      <c r="M103" s="411"/>
      <c r="N103" s="861" t="str">
        <f>'Thong tin'!B6</f>
        <v>Trần Hữu Thọ </v>
      </c>
      <c r="O103" s="861"/>
      <c r="P103" s="861"/>
      <c r="Q103" s="861"/>
      <c r="R103" s="861"/>
      <c r="S103" s="861"/>
    </row>
    <row r="104" spans="1:19" ht="18.75">
      <c r="A104" s="389"/>
      <c r="B104" s="389"/>
      <c r="C104" s="389"/>
      <c r="D104" s="389"/>
      <c r="E104" s="389"/>
      <c r="F104" s="389"/>
      <c r="G104" s="389"/>
      <c r="H104" s="389"/>
      <c r="I104" s="389"/>
      <c r="J104" s="389"/>
      <c r="K104" s="389"/>
      <c r="L104" s="389"/>
      <c r="M104" s="389"/>
      <c r="N104" s="389"/>
      <c r="O104" s="389"/>
      <c r="P104" s="389"/>
      <c r="Q104" s="389"/>
      <c r="R104" s="389"/>
      <c r="S104" s="389"/>
    </row>
  </sheetData>
  <sheetProtection/>
  <mergeCells count="36">
    <mergeCell ref="P2:S2"/>
    <mergeCell ref="C6:E6"/>
    <mergeCell ref="A2:D2"/>
    <mergeCell ref="S6:S9"/>
    <mergeCell ref="I7:P7"/>
    <mergeCell ref="A3:D3"/>
    <mergeCell ref="C7:C9"/>
    <mergeCell ref="P4:S4"/>
    <mergeCell ref="R6:R9"/>
    <mergeCell ref="P98:Q98"/>
    <mergeCell ref="N95:S95"/>
    <mergeCell ref="N96:S96"/>
    <mergeCell ref="A95:E95"/>
    <mergeCell ref="E1:O1"/>
    <mergeCell ref="E2:O2"/>
    <mergeCell ref="E3:O3"/>
    <mergeCell ref="F6:F9"/>
    <mergeCell ref="G6:G9"/>
    <mergeCell ref="H6:Q6"/>
    <mergeCell ref="N103:S103"/>
    <mergeCell ref="D7:E7"/>
    <mergeCell ref="D8:D9"/>
    <mergeCell ref="E8:E9"/>
    <mergeCell ref="J8:P8"/>
    <mergeCell ref="B103:E103"/>
    <mergeCell ref="N97:S97"/>
    <mergeCell ref="B100:O100"/>
    <mergeCell ref="B97:D97"/>
    <mergeCell ref="B98:E98"/>
    <mergeCell ref="A10:B10"/>
    <mergeCell ref="B96:E96"/>
    <mergeCell ref="A11:B11"/>
    <mergeCell ref="A6:B9"/>
    <mergeCell ref="H7:H9"/>
    <mergeCell ref="Q7:Q9"/>
    <mergeCell ref="I8:I9"/>
  </mergeCells>
  <printOptions/>
  <pageMargins left="0.393700787401575" right="0.5" top="0" bottom="0"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E105"/>
  <sheetViews>
    <sheetView showZeros="0" zoomScale="63" zoomScaleNormal="63" zoomScaleSheetLayoutView="65" workbookViewId="0" topLeftCell="B1">
      <selection activeCell="F37" sqref="F37"/>
    </sheetView>
  </sheetViews>
  <sheetFormatPr defaultColWidth="9.00390625" defaultRowHeight="15.75"/>
  <cols>
    <col min="1" max="1" width="3.50390625" style="383" customWidth="1"/>
    <col min="2" max="2" width="19.00390625" style="383" customWidth="1"/>
    <col min="3" max="3" width="16.75390625" style="383" customWidth="1"/>
    <col min="4" max="4" width="16.875" style="383" customWidth="1"/>
    <col min="5" max="5" width="17.75390625" style="383" customWidth="1"/>
    <col min="6" max="6" width="12.00390625" style="383" customWidth="1"/>
    <col min="7" max="7" width="5.375" style="383" customWidth="1"/>
    <col min="8" max="8" width="16.375" style="383" customWidth="1"/>
    <col min="9" max="9" width="15.125" style="383" customWidth="1"/>
    <col min="10" max="10" width="13.75390625" style="383" customWidth="1"/>
    <col min="11" max="11" width="13.875" style="383" customWidth="1"/>
    <col min="12" max="12" width="10.75390625" style="383" customWidth="1"/>
    <col min="13" max="13" width="14.25390625" style="383" customWidth="1"/>
    <col min="14" max="14" width="13.25390625" style="383" customWidth="1"/>
    <col min="15" max="15" width="12.125" style="383" customWidth="1"/>
    <col min="16" max="16" width="5.125" style="383" customWidth="1"/>
    <col min="17" max="17" width="13.125" style="383" customWidth="1"/>
    <col min="18" max="19" width="15.875" style="383" customWidth="1"/>
    <col min="20" max="20" width="9.625" style="383" customWidth="1"/>
    <col min="21" max="16384" width="9.00390625" style="383" customWidth="1"/>
  </cols>
  <sheetData>
    <row r="1" spans="1:20" s="385" customFormat="1" ht="20.25" customHeight="1">
      <c r="A1" s="401" t="s">
        <v>28</v>
      </c>
      <c r="B1" s="401"/>
      <c r="C1" s="401"/>
      <c r="D1" s="398"/>
      <c r="E1" s="869" t="s">
        <v>554</v>
      </c>
      <c r="F1" s="869"/>
      <c r="G1" s="869"/>
      <c r="H1" s="869"/>
      <c r="I1" s="869"/>
      <c r="J1" s="869"/>
      <c r="K1" s="869"/>
      <c r="L1" s="869"/>
      <c r="M1" s="869"/>
      <c r="N1" s="869"/>
      <c r="O1" s="869"/>
      <c r="P1" s="869"/>
      <c r="Q1" s="419" t="s">
        <v>437</v>
      </c>
      <c r="R1" s="391"/>
      <c r="S1" s="391"/>
      <c r="T1" s="391"/>
    </row>
    <row r="2" spans="1:20" ht="17.25" customHeight="1">
      <c r="A2" s="878" t="s">
        <v>244</v>
      </c>
      <c r="B2" s="878"/>
      <c r="C2" s="878"/>
      <c r="D2" s="878"/>
      <c r="E2" s="870" t="s">
        <v>34</v>
      </c>
      <c r="F2" s="870"/>
      <c r="G2" s="870"/>
      <c r="H2" s="870"/>
      <c r="I2" s="870"/>
      <c r="J2" s="870"/>
      <c r="K2" s="870"/>
      <c r="L2" s="870"/>
      <c r="M2" s="870"/>
      <c r="N2" s="870"/>
      <c r="O2" s="870"/>
      <c r="P2" s="870"/>
      <c r="Q2" s="879" t="str">
        <f>'Thong tin'!B4</f>
        <v>Cục Thi hành án dân sự tỉnh Lâm Đồng </v>
      </c>
      <c r="R2" s="879"/>
      <c r="S2" s="879"/>
      <c r="T2" s="879"/>
    </row>
    <row r="3" spans="1:20" s="385" customFormat="1" ht="18" customHeight="1">
      <c r="A3" s="881" t="s">
        <v>245</v>
      </c>
      <c r="B3" s="881"/>
      <c r="C3" s="881"/>
      <c r="D3" s="881"/>
      <c r="E3" s="871" t="str">
        <f>'Thong tin'!B3</f>
        <v>02 tháng / năm 2018</v>
      </c>
      <c r="F3" s="871"/>
      <c r="G3" s="871"/>
      <c r="H3" s="871"/>
      <c r="I3" s="871"/>
      <c r="J3" s="871"/>
      <c r="K3" s="871"/>
      <c r="L3" s="871"/>
      <c r="M3" s="871"/>
      <c r="N3" s="871"/>
      <c r="O3" s="871"/>
      <c r="P3" s="871"/>
      <c r="Q3" s="419" t="s">
        <v>365</v>
      </c>
      <c r="R3" s="399"/>
      <c r="S3" s="391"/>
      <c r="T3" s="391"/>
    </row>
    <row r="4" spans="1:20" ht="14.25" customHeight="1">
      <c r="A4" s="400" t="s">
        <v>124</v>
      </c>
      <c r="B4" s="390"/>
      <c r="C4" s="390"/>
      <c r="D4" s="390"/>
      <c r="E4" s="390"/>
      <c r="F4" s="390"/>
      <c r="G4" s="390"/>
      <c r="H4" s="390"/>
      <c r="I4" s="390"/>
      <c r="J4" s="390"/>
      <c r="K4" s="390"/>
      <c r="L4" s="390"/>
      <c r="M4" s="390"/>
      <c r="N4" s="390"/>
      <c r="O4" s="405"/>
      <c r="P4" s="405"/>
      <c r="Q4" s="880" t="s">
        <v>307</v>
      </c>
      <c r="R4" s="880"/>
      <c r="S4" s="880"/>
      <c r="T4" s="880"/>
    </row>
    <row r="5" spans="1:20" s="385" customFormat="1" ht="21.75" customHeight="1" thickBot="1">
      <c r="A5" s="383"/>
      <c r="B5" s="21"/>
      <c r="C5" s="21"/>
      <c r="D5" s="383"/>
      <c r="E5" s="383"/>
      <c r="F5" s="383"/>
      <c r="G5" s="383"/>
      <c r="H5" s="383"/>
      <c r="I5" s="383"/>
      <c r="J5" s="383"/>
      <c r="K5" s="383"/>
      <c r="L5" s="383"/>
      <c r="M5" s="383"/>
      <c r="N5" s="383"/>
      <c r="O5" s="383"/>
      <c r="P5" s="383"/>
      <c r="Q5" s="891" t="s">
        <v>438</v>
      </c>
      <c r="R5" s="891"/>
      <c r="S5" s="891"/>
      <c r="T5" s="891"/>
    </row>
    <row r="6" spans="1:31" s="385" customFormat="1" ht="18.75" customHeight="1" thickTop="1">
      <c r="A6" s="882" t="s">
        <v>57</v>
      </c>
      <c r="B6" s="883"/>
      <c r="C6" s="885" t="s">
        <v>125</v>
      </c>
      <c r="D6" s="885"/>
      <c r="E6" s="885"/>
      <c r="F6" s="877" t="s">
        <v>101</v>
      </c>
      <c r="G6" s="877" t="s">
        <v>126</v>
      </c>
      <c r="H6" s="889" t="s">
        <v>102</v>
      </c>
      <c r="I6" s="889"/>
      <c r="J6" s="889"/>
      <c r="K6" s="889"/>
      <c r="L6" s="889"/>
      <c r="M6" s="889"/>
      <c r="N6" s="889"/>
      <c r="O6" s="889"/>
      <c r="P6" s="889"/>
      <c r="Q6" s="889"/>
      <c r="R6" s="889"/>
      <c r="S6" s="885" t="s">
        <v>249</v>
      </c>
      <c r="T6" s="894" t="s">
        <v>436</v>
      </c>
      <c r="U6" s="387"/>
      <c r="V6" s="387"/>
      <c r="W6" s="387"/>
      <c r="X6" s="387"/>
      <c r="Y6" s="387"/>
      <c r="Z6" s="387"/>
      <c r="AA6" s="387"/>
      <c r="AB6" s="387"/>
      <c r="AC6" s="387"/>
      <c r="AD6" s="387"/>
      <c r="AE6" s="387"/>
    </row>
    <row r="7" spans="1:31" s="406" customFormat="1" ht="21" customHeight="1">
      <c r="A7" s="884"/>
      <c r="B7" s="859"/>
      <c r="C7" s="874" t="s">
        <v>42</v>
      </c>
      <c r="D7" s="862" t="s">
        <v>7</v>
      </c>
      <c r="E7" s="862"/>
      <c r="F7" s="860"/>
      <c r="G7" s="860"/>
      <c r="H7" s="860" t="s">
        <v>102</v>
      </c>
      <c r="I7" s="874" t="s">
        <v>103</v>
      </c>
      <c r="J7" s="874"/>
      <c r="K7" s="874"/>
      <c r="L7" s="874"/>
      <c r="M7" s="874"/>
      <c r="N7" s="874"/>
      <c r="O7" s="874"/>
      <c r="P7" s="874"/>
      <c r="Q7" s="874"/>
      <c r="R7" s="860" t="s">
        <v>127</v>
      </c>
      <c r="S7" s="874"/>
      <c r="T7" s="895"/>
      <c r="U7" s="391"/>
      <c r="V7" s="391"/>
      <c r="W7" s="391"/>
      <c r="X7" s="391"/>
      <c r="Y7" s="391"/>
      <c r="Z7" s="391"/>
      <c r="AA7" s="391"/>
      <c r="AB7" s="391"/>
      <c r="AC7" s="391"/>
      <c r="AD7" s="391"/>
      <c r="AE7" s="391"/>
    </row>
    <row r="8" spans="1:31" s="385" customFormat="1" ht="21.75" customHeight="1">
      <c r="A8" s="884"/>
      <c r="B8" s="859"/>
      <c r="C8" s="874"/>
      <c r="D8" s="862" t="s">
        <v>128</v>
      </c>
      <c r="E8" s="862" t="s">
        <v>129</v>
      </c>
      <c r="F8" s="860"/>
      <c r="G8" s="860"/>
      <c r="H8" s="860"/>
      <c r="I8" s="860" t="s">
        <v>435</v>
      </c>
      <c r="J8" s="862" t="s">
        <v>7</v>
      </c>
      <c r="K8" s="862"/>
      <c r="L8" s="862"/>
      <c r="M8" s="862"/>
      <c r="N8" s="862"/>
      <c r="O8" s="862"/>
      <c r="P8" s="862"/>
      <c r="Q8" s="862"/>
      <c r="R8" s="860"/>
      <c r="S8" s="874"/>
      <c r="T8" s="895"/>
      <c r="U8" s="387"/>
      <c r="V8" s="387"/>
      <c r="W8" s="387"/>
      <c r="X8" s="387"/>
      <c r="Y8" s="387"/>
      <c r="Z8" s="387"/>
      <c r="AA8" s="387"/>
      <c r="AB8" s="387"/>
      <c r="AC8" s="387"/>
      <c r="AD8" s="387"/>
      <c r="AE8" s="387"/>
    </row>
    <row r="9" spans="1:31" s="385" customFormat="1" ht="84" customHeight="1">
      <c r="A9" s="884"/>
      <c r="B9" s="859"/>
      <c r="C9" s="874"/>
      <c r="D9" s="862"/>
      <c r="E9" s="862"/>
      <c r="F9" s="860"/>
      <c r="G9" s="860"/>
      <c r="H9" s="860"/>
      <c r="I9" s="860"/>
      <c r="J9" s="395" t="s">
        <v>130</v>
      </c>
      <c r="K9" s="395" t="s">
        <v>131</v>
      </c>
      <c r="L9" s="395" t="s">
        <v>123</v>
      </c>
      <c r="M9" s="396" t="s">
        <v>105</v>
      </c>
      <c r="N9" s="396" t="s">
        <v>132</v>
      </c>
      <c r="O9" s="396" t="s">
        <v>108</v>
      </c>
      <c r="P9" s="396" t="s">
        <v>250</v>
      </c>
      <c r="Q9" s="396" t="s">
        <v>111</v>
      </c>
      <c r="R9" s="860"/>
      <c r="S9" s="874"/>
      <c r="T9" s="895"/>
      <c r="U9" s="387"/>
      <c r="V9" s="387"/>
      <c r="W9" s="387"/>
      <c r="X9" s="387"/>
      <c r="Y9" s="387"/>
      <c r="Z9" s="387"/>
      <c r="AA9" s="387"/>
      <c r="AB9" s="387"/>
      <c r="AC9" s="387"/>
      <c r="AD9" s="387"/>
      <c r="AE9" s="387"/>
    </row>
    <row r="10" spans="1:20" s="385" customFormat="1" ht="17.25" customHeight="1">
      <c r="A10" s="892" t="s">
        <v>6</v>
      </c>
      <c r="B10" s="893"/>
      <c r="C10" s="402">
        <v>1</v>
      </c>
      <c r="D10" s="402">
        <v>2</v>
      </c>
      <c r="E10" s="402">
        <v>3</v>
      </c>
      <c r="F10" s="402">
        <v>4</v>
      </c>
      <c r="G10" s="402">
        <v>5</v>
      </c>
      <c r="H10" s="402">
        <v>6</v>
      </c>
      <c r="I10" s="402">
        <v>7</v>
      </c>
      <c r="J10" s="402">
        <v>8</v>
      </c>
      <c r="K10" s="402">
        <v>9</v>
      </c>
      <c r="L10" s="402" t="s">
        <v>83</v>
      </c>
      <c r="M10" s="402" t="s">
        <v>84</v>
      </c>
      <c r="N10" s="402" t="s">
        <v>85</v>
      </c>
      <c r="O10" s="402" t="s">
        <v>86</v>
      </c>
      <c r="P10" s="402" t="s">
        <v>87</v>
      </c>
      <c r="Q10" s="402" t="s">
        <v>252</v>
      </c>
      <c r="R10" s="402" t="s">
        <v>253</v>
      </c>
      <c r="S10" s="402" t="s">
        <v>254</v>
      </c>
      <c r="T10" s="403" t="s">
        <v>255</v>
      </c>
    </row>
    <row r="11" spans="1:21" s="385" customFormat="1" ht="33" customHeight="1">
      <c r="A11" s="857" t="s">
        <v>30</v>
      </c>
      <c r="B11" s="858"/>
      <c r="C11" s="461">
        <f>D11+E11</f>
        <v>2350097951</v>
      </c>
      <c r="D11" s="461">
        <f aca="true" t="shared" si="0" ref="D11:S11">D13+D27</f>
        <v>2230252665</v>
      </c>
      <c r="E11" s="461">
        <f t="shared" si="0"/>
        <v>119845286</v>
      </c>
      <c r="F11" s="461">
        <f t="shared" si="0"/>
        <v>885545</v>
      </c>
      <c r="G11" s="461">
        <f t="shared" si="0"/>
        <v>0</v>
      </c>
      <c r="H11" s="461">
        <f t="shared" si="0"/>
        <v>2349212406</v>
      </c>
      <c r="I11" s="461">
        <f t="shared" si="0"/>
        <v>823411130.591</v>
      </c>
      <c r="J11" s="461">
        <f t="shared" si="0"/>
        <v>20440667</v>
      </c>
      <c r="K11" s="461">
        <f t="shared" si="0"/>
        <v>30478419</v>
      </c>
      <c r="L11" s="461">
        <f t="shared" si="0"/>
        <v>16272</v>
      </c>
      <c r="M11" s="461">
        <f t="shared" si="0"/>
        <v>743686018.591</v>
      </c>
      <c r="N11" s="461">
        <f t="shared" si="0"/>
        <v>14104703</v>
      </c>
      <c r="O11" s="461">
        <f t="shared" si="0"/>
        <v>5247425</v>
      </c>
      <c r="P11" s="461">
        <f t="shared" si="0"/>
        <v>0</v>
      </c>
      <c r="Q11" s="461">
        <f t="shared" si="0"/>
        <v>9437626</v>
      </c>
      <c r="R11" s="461">
        <f t="shared" si="0"/>
        <v>1525801275.409</v>
      </c>
      <c r="S11" s="461">
        <f t="shared" si="0"/>
        <v>2298277048</v>
      </c>
      <c r="T11" s="511">
        <f>(J11+K11+L11)/I11</f>
        <v>0.0618589621972214</v>
      </c>
      <c r="U11" s="383"/>
    </row>
    <row r="12" spans="1:21" s="385" customFormat="1" ht="24" customHeight="1">
      <c r="A12" s="450"/>
      <c r="B12" s="455"/>
      <c r="C12" s="461">
        <f>D12+E12</f>
        <v>0</v>
      </c>
      <c r="D12" s="462"/>
      <c r="E12" s="462"/>
      <c r="F12" s="462"/>
      <c r="G12" s="462"/>
      <c r="H12" s="462">
        <f>C12-F12</f>
        <v>0</v>
      </c>
      <c r="I12" s="462">
        <f>H12-R12</f>
        <v>0</v>
      </c>
      <c r="J12" s="462"/>
      <c r="K12" s="462"/>
      <c r="L12" s="462"/>
      <c r="M12" s="464">
        <f>I12-N12-O12-P12-Q12-J12-K12-L12</f>
        <v>0</v>
      </c>
      <c r="N12" s="462"/>
      <c r="O12" s="462"/>
      <c r="P12" s="462"/>
      <c r="Q12" s="462"/>
      <c r="R12" s="462"/>
      <c r="S12" s="461">
        <f>H12-J12-K12-L12</f>
        <v>0</v>
      </c>
      <c r="T12" s="511"/>
      <c r="U12" s="383"/>
    </row>
    <row r="13" spans="1:21" s="385" customFormat="1" ht="24" customHeight="1">
      <c r="A13" s="426" t="s">
        <v>0</v>
      </c>
      <c r="B13" s="452" t="s">
        <v>549</v>
      </c>
      <c r="C13" s="461">
        <f>C14+C15+C16+C17+C18+C19+C20+C21+C22++C23+C24+C25+C26</f>
        <v>659238840</v>
      </c>
      <c r="D13" s="461">
        <f aca="true" t="shared" si="1" ref="D13:S13">D14+D15+D16+D17+D18+D19+D20+D21+D22++D23+D24+D25+D26</f>
        <v>657910712</v>
      </c>
      <c r="E13" s="461">
        <f t="shared" si="1"/>
        <v>1328128</v>
      </c>
      <c r="F13" s="461">
        <f t="shared" si="1"/>
        <v>0</v>
      </c>
      <c r="G13" s="461">
        <f t="shared" si="1"/>
        <v>0</v>
      </c>
      <c r="H13" s="461">
        <f t="shared" si="1"/>
        <v>659238840</v>
      </c>
      <c r="I13" s="461">
        <f t="shared" si="1"/>
        <v>17639191</v>
      </c>
      <c r="J13" s="461">
        <f t="shared" si="1"/>
        <v>677181</v>
      </c>
      <c r="K13" s="461">
        <f t="shared" si="1"/>
        <v>0</v>
      </c>
      <c r="L13" s="461">
        <f t="shared" si="1"/>
        <v>0</v>
      </c>
      <c r="M13" s="461">
        <f t="shared" si="1"/>
        <v>16900348</v>
      </c>
      <c r="N13" s="461">
        <f t="shared" si="1"/>
        <v>0</v>
      </c>
      <c r="O13" s="461">
        <f>O14+O15+O16+O17+O18+O19+O20+O21+O22++O23+O24+O25+O26</f>
        <v>0</v>
      </c>
      <c r="P13" s="461">
        <f t="shared" si="1"/>
        <v>0</v>
      </c>
      <c r="Q13" s="461">
        <f t="shared" si="1"/>
        <v>61662</v>
      </c>
      <c r="R13" s="461">
        <f t="shared" si="1"/>
        <v>641599649</v>
      </c>
      <c r="S13" s="461">
        <f t="shared" si="1"/>
        <v>658561659</v>
      </c>
      <c r="T13" s="511">
        <f aca="true" t="shared" si="2" ref="T13:T70">(J13+K13+L13)/I13</f>
        <v>0.038390706240439255</v>
      </c>
      <c r="U13" s="383"/>
    </row>
    <row r="14" spans="1:21" s="385" customFormat="1" ht="30" customHeight="1">
      <c r="A14" s="440" t="s">
        <v>43</v>
      </c>
      <c r="B14" s="441" t="s">
        <v>444</v>
      </c>
      <c r="C14" s="463">
        <f>D14+E14</f>
        <v>1000</v>
      </c>
      <c r="D14" s="512">
        <v>200</v>
      </c>
      <c r="E14" s="512">
        <f>'[18]07'!$E$13</f>
        <v>800</v>
      </c>
      <c r="F14" s="512">
        <f>'[18]07'!$F$13</f>
        <v>0</v>
      </c>
      <c r="G14" s="512"/>
      <c r="H14" s="463">
        <f>C14-F14</f>
        <v>1000</v>
      </c>
      <c r="I14" s="463">
        <f>H14-R14</f>
        <v>1000</v>
      </c>
      <c r="J14" s="512">
        <f>'[18]07'!$J$13</f>
        <v>0</v>
      </c>
      <c r="K14" s="512">
        <f>'[18]07'!$K$13</f>
        <v>0</v>
      </c>
      <c r="L14" s="512"/>
      <c r="M14" s="513">
        <f>I14-N14-O14-P14-Q14-J14-K14-L14</f>
        <v>1000</v>
      </c>
      <c r="N14" s="512">
        <f>'[18]07'!$N$13</f>
        <v>0</v>
      </c>
      <c r="O14" s="512">
        <f>'[18]07'!$O$13</f>
        <v>0</v>
      </c>
      <c r="P14" s="512">
        <f>'[18]07'!$P$13</f>
        <v>0</v>
      </c>
      <c r="Q14" s="512">
        <f>'[18]07'!$Q$13</f>
        <v>0</v>
      </c>
      <c r="R14" s="514">
        <f>'[18]07'!$R$13</f>
        <v>0</v>
      </c>
      <c r="S14" s="463">
        <f>H14-J14-K14-L14</f>
        <v>1000</v>
      </c>
      <c r="T14" s="511">
        <f t="shared" si="2"/>
        <v>0</v>
      </c>
      <c r="U14" s="383"/>
    </row>
    <row r="15" spans="1:21" s="385" customFormat="1" ht="30" customHeight="1">
      <c r="A15" s="440" t="s">
        <v>44</v>
      </c>
      <c r="B15" s="441" t="s">
        <v>447</v>
      </c>
      <c r="C15" s="463">
        <f aca="true" t="shared" si="3" ref="C15:C95">D15+E15</f>
        <v>322609</v>
      </c>
      <c r="D15" s="512">
        <v>308025</v>
      </c>
      <c r="E15" s="512">
        <f>'[18]07'!$E$14</f>
        <v>14584</v>
      </c>
      <c r="F15" s="512">
        <f>'[18]07'!$F$14</f>
        <v>0</v>
      </c>
      <c r="G15" s="512"/>
      <c r="H15" s="463">
        <f aca="true" t="shared" si="4" ref="H15:H81">C15-F15</f>
        <v>322609</v>
      </c>
      <c r="I15" s="463">
        <f aca="true" t="shared" si="5" ref="I15:I95">H15-R15</f>
        <v>148939</v>
      </c>
      <c r="J15" s="512">
        <f>'[18]07'!$J$14</f>
        <v>600</v>
      </c>
      <c r="K15" s="512">
        <f>'[18]07'!$K$14</f>
        <v>0</v>
      </c>
      <c r="L15" s="512"/>
      <c r="M15" s="513">
        <f aca="true" t="shared" si="6" ref="M15:M95">I15-N15-O15-P15-Q15-J15-K15-L15</f>
        <v>148339</v>
      </c>
      <c r="N15" s="512">
        <f>'[18]07'!$N$14</f>
        <v>0</v>
      </c>
      <c r="O15" s="512">
        <f>'[18]07'!$O$14</f>
        <v>0</v>
      </c>
      <c r="P15" s="512">
        <f>'[18]07'!$P$14</f>
        <v>0</v>
      </c>
      <c r="Q15" s="512">
        <f>'[18]07'!$Q$14</f>
        <v>0</v>
      </c>
      <c r="R15" s="514">
        <f>'[18]07'!$R$14</f>
        <v>173670</v>
      </c>
      <c r="S15" s="463">
        <f aca="true" t="shared" si="7" ref="S15:S95">H15-J15-K15-L15</f>
        <v>322009</v>
      </c>
      <c r="T15" s="511">
        <f t="shared" si="2"/>
        <v>0.004028494887168573</v>
      </c>
      <c r="U15" s="383"/>
    </row>
    <row r="16" spans="1:21" s="385" customFormat="1" ht="30" customHeight="1">
      <c r="A16" s="440" t="s">
        <v>49</v>
      </c>
      <c r="B16" s="441" t="s">
        <v>448</v>
      </c>
      <c r="C16" s="463">
        <f t="shared" si="3"/>
        <v>34635973</v>
      </c>
      <c r="D16" s="512">
        <v>34519614</v>
      </c>
      <c r="E16" s="512">
        <f>'[18]07'!$E$15</f>
        <v>116359</v>
      </c>
      <c r="F16" s="512">
        <f>'[18]07'!$F$15</f>
        <v>0</v>
      </c>
      <c r="G16" s="512"/>
      <c r="H16" s="463">
        <f t="shared" si="4"/>
        <v>34635973</v>
      </c>
      <c r="I16" s="463">
        <f t="shared" si="5"/>
        <v>128759</v>
      </c>
      <c r="J16" s="512">
        <f>'[18]07'!$J$15</f>
        <v>0</v>
      </c>
      <c r="K16" s="512">
        <f>'[18]07'!$K$15</f>
        <v>0</v>
      </c>
      <c r="L16" s="512"/>
      <c r="M16" s="513">
        <f t="shared" si="6"/>
        <v>128759</v>
      </c>
      <c r="N16" s="512">
        <f>'[18]07'!$N$15</f>
        <v>0</v>
      </c>
      <c r="O16" s="512">
        <f>'[18]07'!$O$15</f>
        <v>0</v>
      </c>
      <c r="P16" s="512">
        <f>'[18]07'!$P$15</f>
        <v>0</v>
      </c>
      <c r="Q16" s="512">
        <f>'[18]07'!$Q$15</f>
        <v>0</v>
      </c>
      <c r="R16" s="512">
        <f>'[18]07'!$R$15</f>
        <v>34507214</v>
      </c>
      <c r="S16" s="463">
        <f t="shared" si="7"/>
        <v>34635973</v>
      </c>
      <c r="T16" s="511">
        <f t="shared" si="2"/>
        <v>0</v>
      </c>
      <c r="U16" s="383"/>
    </row>
    <row r="17" spans="1:21" s="385" customFormat="1" ht="30" customHeight="1">
      <c r="A17" s="440" t="s">
        <v>58</v>
      </c>
      <c r="B17" s="441" t="s">
        <v>553</v>
      </c>
      <c r="C17" s="463">
        <f t="shared" si="3"/>
        <v>165223</v>
      </c>
      <c r="D17" s="512">
        <v>152223</v>
      </c>
      <c r="E17" s="512">
        <f>'[18]07'!$E$16</f>
        <v>13000</v>
      </c>
      <c r="F17" s="512">
        <f>'[18]07'!$F$16</f>
        <v>0</v>
      </c>
      <c r="G17" s="512"/>
      <c r="H17" s="463">
        <f t="shared" si="4"/>
        <v>165223</v>
      </c>
      <c r="I17" s="463">
        <f t="shared" si="5"/>
        <v>13000</v>
      </c>
      <c r="J17" s="512">
        <f>'[18]07'!$J$16</f>
        <v>0</v>
      </c>
      <c r="K17" s="512">
        <f>'[18]07'!$K$16</f>
        <v>0</v>
      </c>
      <c r="L17" s="512"/>
      <c r="M17" s="513">
        <f t="shared" si="6"/>
        <v>13000</v>
      </c>
      <c r="N17" s="512">
        <f>'[18]07'!$N$16</f>
        <v>0</v>
      </c>
      <c r="O17" s="512">
        <f>'[18]07'!$O$16</f>
        <v>0</v>
      </c>
      <c r="P17" s="512">
        <f>'[18]07'!$P$16</f>
        <v>0</v>
      </c>
      <c r="Q17" s="512">
        <f>'[18]07'!$Q$16</f>
        <v>0</v>
      </c>
      <c r="R17" s="512">
        <f>'[18]07'!$R$16</f>
        <v>152223</v>
      </c>
      <c r="S17" s="463">
        <f t="shared" si="7"/>
        <v>165223</v>
      </c>
      <c r="T17" s="511">
        <f t="shared" si="2"/>
        <v>0</v>
      </c>
      <c r="U17" s="383"/>
    </row>
    <row r="18" spans="1:21" s="385" customFormat="1" ht="30" customHeight="1">
      <c r="A18" s="440" t="s">
        <v>59</v>
      </c>
      <c r="B18" s="441" t="s">
        <v>449</v>
      </c>
      <c r="C18" s="463">
        <f t="shared" si="3"/>
        <v>400</v>
      </c>
      <c r="D18" s="512">
        <v>0</v>
      </c>
      <c r="E18" s="512">
        <f>'[18]07'!$E$17</f>
        <v>400</v>
      </c>
      <c r="F18" s="512">
        <f>'[18]07'!$F$17</f>
        <v>0</v>
      </c>
      <c r="G18" s="512"/>
      <c r="H18" s="463">
        <f t="shared" si="4"/>
        <v>400</v>
      </c>
      <c r="I18" s="463">
        <f t="shared" si="5"/>
        <v>400</v>
      </c>
      <c r="J18" s="512">
        <f>'[18]07'!$J$17</f>
        <v>200</v>
      </c>
      <c r="K18" s="512">
        <f>'[18]07'!$K$17</f>
        <v>0</v>
      </c>
      <c r="L18" s="512"/>
      <c r="M18" s="513">
        <f t="shared" si="6"/>
        <v>200</v>
      </c>
      <c r="N18" s="512">
        <f>'[18]07'!$N$17</f>
        <v>0</v>
      </c>
      <c r="O18" s="512">
        <f>'[18]07'!$O$17</f>
        <v>0</v>
      </c>
      <c r="P18" s="512">
        <f>'[18]07'!$P$17</f>
        <v>0</v>
      </c>
      <c r="Q18" s="512">
        <f>'[18]07'!$Q$16</f>
        <v>0</v>
      </c>
      <c r="R18" s="514">
        <f>'[18]07'!$R$17</f>
        <v>0</v>
      </c>
      <c r="S18" s="463">
        <f t="shared" si="7"/>
        <v>200</v>
      </c>
      <c r="T18" s="511">
        <f t="shared" si="2"/>
        <v>0.5</v>
      </c>
      <c r="U18" s="383"/>
    </row>
    <row r="19" spans="1:21" s="385" customFormat="1" ht="30" customHeight="1">
      <c r="A19" s="440" t="s">
        <v>60</v>
      </c>
      <c r="B19" s="441" t="s">
        <v>450</v>
      </c>
      <c r="C19" s="463">
        <f t="shared" si="3"/>
        <v>40465953</v>
      </c>
      <c r="D19" s="512">
        <v>40409599</v>
      </c>
      <c r="E19" s="512">
        <f>'[18]07'!$E$18</f>
        <v>56354</v>
      </c>
      <c r="F19" s="512">
        <f>'[18]07'!$F$18</f>
        <v>0</v>
      </c>
      <c r="G19" s="512"/>
      <c r="H19" s="463">
        <f t="shared" si="4"/>
        <v>40465953</v>
      </c>
      <c r="I19" s="463">
        <f t="shared" si="5"/>
        <v>1655698</v>
      </c>
      <c r="J19" s="512">
        <f>'[18]07'!$J$18</f>
        <v>56354</v>
      </c>
      <c r="K19" s="512">
        <f>'[18]07'!$K$18</f>
        <v>0</v>
      </c>
      <c r="L19" s="512"/>
      <c r="M19" s="513">
        <f t="shared" si="6"/>
        <v>1599344</v>
      </c>
      <c r="N19" s="512">
        <f>'[18]07'!$N$18</f>
        <v>0</v>
      </c>
      <c r="O19" s="512">
        <f>'[18]07'!$O$18</f>
        <v>0</v>
      </c>
      <c r="P19" s="512">
        <f>'[18]07'!$P$18</f>
        <v>0</v>
      </c>
      <c r="Q19" s="512">
        <f>'[18]07'!$Q$18</f>
        <v>0</v>
      </c>
      <c r="R19" s="514">
        <f>'[18]07'!$R$18</f>
        <v>38810255</v>
      </c>
      <c r="S19" s="463">
        <f t="shared" si="7"/>
        <v>40409599</v>
      </c>
      <c r="T19" s="511">
        <f t="shared" si="2"/>
        <v>0.03403640035803631</v>
      </c>
      <c r="U19" s="383"/>
    </row>
    <row r="20" spans="1:21" s="385" customFormat="1" ht="30" customHeight="1">
      <c r="A20" s="440" t="s">
        <v>61</v>
      </c>
      <c r="B20" s="441" t="s">
        <v>451</v>
      </c>
      <c r="C20" s="463">
        <f t="shared" si="3"/>
        <v>1456142</v>
      </c>
      <c r="D20" s="512">
        <v>1408792</v>
      </c>
      <c r="E20" s="512">
        <f>'[18]07'!$E$19</f>
        <v>47350</v>
      </c>
      <c r="F20" s="512">
        <f>'[18]07'!$F$19</f>
        <v>0</v>
      </c>
      <c r="G20" s="512"/>
      <c r="H20" s="463">
        <f t="shared" si="4"/>
        <v>1456142</v>
      </c>
      <c r="I20" s="463">
        <f t="shared" si="5"/>
        <v>287156</v>
      </c>
      <c r="J20" s="512">
        <f>'[18]07'!$J$19</f>
        <v>0</v>
      </c>
      <c r="K20" s="512">
        <f>'[18]07'!$K$19</f>
        <v>0</v>
      </c>
      <c r="L20" s="512"/>
      <c r="M20" s="513">
        <f t="shared" si="6"/>
        <v>287156</v>
      </c>
      <c r="N20" s="512">
        <f>'[18]07'!$N$19</f>
        <v>0</v>
      </c>
      <c r="O20" s="512">
        <f>'[18]07'!$O$19</f>
        <v>0</v>
      </c>
      <c r="P20" s="512">
        <f>'[18]07'!$P$19</f>
        <v>0</v>
      </c>
      <c r="Q20" s="512">
        <f>'[18]07'!$Q$19</f>
        <v>0</v>
      </c>
      <c r="R20" s="514">
        <f>'[18]07'!$R$19</f>
        <v>1168986</v>
      </c>
      <c r="S20" s="463">
        <f t="shared" si="7"/>
        <v>1456142</v>
      </c>
      <c r="T20" s="511">
        <f t="shared" si="2"/>
        <v>0</v>
      </c>
      <c r="U20" s="383"/>
    </row>
    <row r="21" spans="1:21" s="385" customFormat="1" ht="30" customHeight="1">
      <c r="A21" s="440" t="s">
        <v>62</v>
      </c>
      <c r="B21" s="441" t="s">
        <v>443</v>
      </c>
      <c r="C21" s="463">
        <f t="shared" si="3"/>
        <v>2784257</v>
      </c>
      <c r="D21" s="512">
        <v>2668517</v>
      </c>
      <c r="E21" s="512">
        <f>'[18]07'!$E$20</f>
        <v>115740</v>
      </c>
      <c r="F21" s="512">
        <f>'[18]07'!$F$20</f>
        <v>0</v>
      </c>
      <c r="G21" s="512"/>
      <c r="H21" s="463">
        <f t="shared" si="4"/>
        <v>2784257</v>
      </c>
      <c r="I21" s="463">
        <f t="shared" si="5"/>
        <v>2163920</v>
      </c>
      <c r="J21" s="512">
        <v>200</v>
      </c>
      <c r="K21" s="512">
        <f>'[18]07'!$K$20</f>
        <v>0</v>
      </c>
      <c r="L21" s="512"/>
      <c r="M21" s="513">
        <f t="shared" si="6"/>
        <v>2163720</v>
      </c>
      <c r="N21" s="512">
        <f>'[18]07'!$N$20</f>
        <v>0</v>
      </c>
      <c r="O21" s="512">
        <f>'[18]07'!$O$20</f>
        <v>0</v>
      </c>
      <c r="P21" s="512">
        <f>'[18]07'!$P$20</f>
        <v>0</v>
      </c>
      <c r="Q21" s="512">
        <f>'[18]07'!$Q$20</f>
        <v>0</v>
      </c>
      <c r="R21" s="514">
        <f>'[18]07'!$R$20</f>
        <v>620337</v>
      </c>
      <c r="S21" s="463">
        <f t="shared" si="7"/>
        <v>2784057</v>
      </c>
      <c r="T21" s="511">
        <f t="shared" si="2"/>
        <v>9.242485858996636E-05</v>
      </c>
      <c r="U21" s="383"/>
    </row>
    <row r="22" spans="1:21" s="385" customFormat="1" ht="30" customHeight="1">
      <c r="A22" s="440" t="s">
        <v>63</v>
      </c>
      <c r="B22" s="441" t="s">
        <v>452</v>
      </c>
      <c r="C22" s="463">
        <f t="shared" si="3"/>
        <v>14164122</v>
      </c>
      <c r="D22" s="512">
        <v>13897146</v>
      </c>
      <c r="E22" s="512">
        <f>'[18]07'!$E$21</f>
        <v>266976</v>
      </c>
      <c r="F22" s="512">
        <f>'[18]07'!$F$21</f>
        <v>0</v>
      </c>
      <c r="G22" s="512"/>
      <c r="H22" s="463">
        <f t="shared" si="4"/>
        <v>14164122</v>
      </c>
      <c r="I22" s="463">
        <f t="shared" si="5"/>
        <v>7254464</v>
      </c>
      <c r="J22" s="512">
        <f>'[18]07'!$J$21</f>
        <v>0</v>
      </c>
      <c r="K22" s="512">
        <f>'[18]07'!$K$21</f>
        <v>0</v>
      </c>
      <c r="L22" s="512"/>
      <c r="M22" s="513">
        <f t="shared" si="6"/>
        <v>7254464</v>
      </c>
      <c r="N22" s="512">
        <f>'[18]07'!$N$21</f>
        <v>0</v>
      </c>
      <c r="O22" s="512">
        <f>'[18]07'!$O$21</f>
        <v>0</v>
      </c>
      <c r="P22" s="512">
        <f>'[18]07'!$P$21</f>
        <v>0</v>
      </c>
      <c r="Q22" s="512">
        <f>'[18]07'!$Q$21</f>
        <v>0</v>
      </c>
      <c r="R22" s="514">
        <f>'[18]07'!$R$21</f>
        <v>6909658</v>
      </c>
      <c r="S22" s="463">
        <f t="shared" si="7"/>
        <v>14164122</v>
      </c>
      <c r="T22" s="511">
        <f t="shared" si="2"/>
        <v>0</v>
      </c>
      <c r="U22" s="383"/>
    </row>
    <row r="23" spans="1:21" s="385" customFormat="1" ht="30" customHeight="1">
      <c r="A23" s="440" t="s">
        <v>83</v>
      </c>
      <c r="B23" s="441" t="s">
        <v>555</v>
      </c>
      <c r="C23" s="463">
        <f t="shared" si="3"/>
        <v>4296648</v>
      </c>
      <c r="D23" s="512">
        <v>4296648</v>
      </c>
      <c r="E23" s="512">
        <f>'[18]07'!$E$22</f>
        <v>0</v>
      </c>
      <c r="F23" s="512">
        <f>'[18]07'!$F$22</f>
        <v>0</v>
      </c>
      <c r="G23" s="512"/>
      <c r="H23" s="463">
        <f t="shared" si="4"/>
        <v>4296648</v>
      </c>
      <c r="I23" s="463">
        <f t="shared" si="5"/>
        <v>4296648</v>
      </c>
      <c r="J23" s="512">
        <f>'[18]07'!$J$22</f>
        <v>0</v>
      </c>
      <c r="K23" s="512">
        <f>'[18]07'!$K$22</f>
        <v>0</v>
      </c>
      <c r="L23" s="512"/>
      <c r="M23" s="513">
        <f t="shared" si="6"/>
        <v>4296648</v>
      </c>
      <c r="N23" s="512">
        <f>'[18]07'!$N$22</f>
        <v>0</v>
      </c>
      <c r="O23" s="512">
        <f>'[18]07'!$O$22</f>
        <v>0</v>
      </c>
      <c r="P23" s="512">
        <f>'[18]07'!$P$22</f>
        <v>0</v>
      </c>
      <c r="Q23" s="512">
        <f>'[18]07'!$Q$22</f>
        <v>0</v>
      </c>
      <c r="R23" s="514">
        <f>'[18]07'!$R$22</f>
        <v>0</v>
      </c>
      <c r="S23" s="463">
        <f t="shared" si="7"/>
        <v>4296648</v>
      </c>
      <c r="T23" s="511">
        <f t="shared" si="2"/>
        <v>0</v>
      </c>
      <c r="U23" s="383"/>
    </row>
    <row r="24" spans="1:21" s="385" customFormat="1" ht="30" customHeight="1">
      <c r="A24" s="440" t="s">
        <v>84</v>
      </c>
      <c r="B24" s="441" t="s">
        <v>453</v>
      </c>
      <c r="C24" s="463">
        <f t="shared" si="3"/>
        <v>1321700</v>
      </c>
      <c r="D24" s="512">
        <v>691273</v>
      </c>
      <c r="E24" s="512">
        <f>'[18]07'!$E$23</f>
        <v>630427</v>
      </c>
      <c r="F24" s="512">
        <f>'[18]07'!$F$23</f>
        <v>0</v>
      </c>
      <c r="G24" s="512"/>
      <c r="H24" s="463">
        <f t="shared" si="4"/>
        <v>1321700</v>
      </c>
      <c r="I24" s="463">
        <f t="shared" si="5"/>
        <v>630427</v>
      </c>
      <c r="J24" s="512">
        <f>'[18]07'!$J$23</f>
        <v>609827</v>
      </c>
      <c r="K24" s="512">
        <f>'[18]07'!$K$23</f>
        <v>0</v>
      </c>
      <c r="L24" s="512"/>
      <c r="M24" s="513">
        <f t="shared" si="6"/>
        <v>20600</v>
      </c>
      <c r="N24" s="512">
        <f>'[18]07'!$N$23</f>
        <v>0</v>
      </c>
      <c r="O24" s="512">
        <f>'[18]07'!$O$23</f>
        <v>0</v>
      </c>
      <c r="P24" s="512">
        <f>'[18]07'!$P$23</f>
        <v>0</v>
      </c>
      <c r="Q24" s="512">
        <f>'[18]07'!$Q$23</f>
        <v>0</v>
      </c>
      <c r="R24" s="514">
        <f>'[18]07'!$R$23</f>
        <v>691273</v>
      </c>
      <c r="S24" s="463">
        <f t="shared" si="7"/>
        <v>711873</v>
      </c>
      <c r="T24" s="511">
        <f t="shared" si="2"/>
        <v>0.9673237345481713</v>
      </c>
      <c r="U24" s="383"/>
    </row>
    <row r="25" spans="1:21" s="385" customFormat="1" ht="30" customHeight="1">
      <c r="A25" s="440" t="s">
        <v>85</v>
      </c>
      <c r="B25" s="441" t="s">
        <v>454</v>
      </c>
      <c r="C25" s="463">
        <f t="shared" si="3"/>
        <v>519968</v>
      </c>
      <c r="D25" s="512">
        <v>453830</v>
      </c>
      <c r="E25" s="512">
        <f>'[18]07'!$E$24</f>
        <v>66138</v>
      </c>
      <c r="F25" s="512">
        <f>'[18]07'!$F$24</f>
        <v>0</v>
      </c>
      <c r="G25" s="512"/>
      <c r="H25" s="463">
        <f t="shared" si="4"/>
        <v>519968</v>
      </c>
      <c r="I25" s="463">
        <f t="shared" si="5"/>
        <v>213480</v>
      </c>
      <c r="J25" s="512">
        <f>'[18]07'!$J$24</f>
        <v>10000</v>
      </c>
      <c r="K25" s="512">
        <f>'[18]07'!$K$24</f>
        <v>0</v>
      </c>
      <c r="L25" s="512"/>
      <c r="M25" s="513">
        <f t="shared" si="6"/>
        <v>141818</v>
      </c>
      <c r="N25" s="512">
        <f>'[18]07'!$N$24</f>
        <v>0</v>
      </c>
      <c r="O25" s="512">
        <f>'[18]07'!$O$24</f>
        <v>0</v>
      </c>
      <c r="P25" s="512">
        <f>'[18]07'!$P$24</f>
        <v>0</v>
      </c>
      <c r="Q25" s="512">
        <f>'[18]07'!$Q$24</f>
        <v>61662</v>
      </c>
      <c r="R25" s="514">
        <f>'[18]07'!$R$24</f>
        <v>306488</v>
      </c>
      <c r="S25" s="463">
        <f t="shared" si="7"/>
        <v>509968</v>
      </c>
      <c r="T25" s="511">
        <f t="shared" si="2"/>
        <v>0.046842795578040095</v>
      </c>
      <c r="U25" s="383"/>
    </row>
    <row r="26" spans="1:21" s="385" customFormat="1" ht="30" customHeight="1">
      <c r="A26" s="440" t="s">
        <v>86</v>
      </c>
      <c r="B26" s="441" t="s">
        <v>455</v>
      </c>
      <c r="C26" s="463">
        <f t="shared" si="3"/>
        <v>559104845</v>
      </c>
      <c r="D26" s="512">
        <v>559104845</v>
      </c>
      <c r="E26" s="512">
        <f>'[18]07'!$E$25</f>
        <v>0</v>
      </c>
      <c r="F26" s="512">
        <f>'[18]07'!$F$25</f>
        <v>0</v>
      </c>
      <c r="G26" s="512"/>
      <c r="H26" s="463">
        <f t="shared" si="4"/>
        <v>559104845</v>
      </c>
      <c r="I26" s="463">
        <f t="shared" si="5"/>
        <v>845300</v>
      </c>
      <c r="J26" s="512">
        <f>'[18]07'!$J$25</f>
        <v>0</v>
      </c>
      <c r="K26" s="512">
        <f>'[18]07'!$K$25</f>
        <v>0</v>
      </c>
      <c r="L26" s="512"/>
      <c r="M26" s="513">
        <f t="shared" si="6"/>
        <v>845300</v>
      </c>
      <c r="N26" s="512">
        <f>'[18]07'!$N$25</f>
        <v>0</v>
      </c>
      <c r="O26" s="512">
        <f>'[18]07'!$O$25</f>
        <v>0</v>
      </c>
      <c r="P26" s="512">
        <f>'[18]07'!$P$25</f>
        <v>0</v>
      </c>
      <c r="Q26" s="512">
        <f>'[18]07'!$Q$25</f>
        <v>0</v>
      </c>
      <c r="R26" s="514">
        <f>'[18]07'!$R$25</f>
        <v>558259545</v>
      </c>
      <c r="S26" s="463">
        <f t="shared" si="7"/>
        <v>559104845</v>
      </c>
      <c r="T26" s="511">
        <f t="shared" si="2"/>
        <v>0</v>
      </c>
      <c r="U26" s="383"/>
    </row>
    <row r="27" spans="1:21" s="385" customFormat="1" ht="30" customHeight="1">
      <c r="A27" s="426" t="s">
        <v>1</v>
      </c>
      <c r="B27" s="427" t="s">
        <v>17</v>
      </c>
      <c r="C27" s="461">
        <f t="shared" si="3"/>
        <v>1690859111</v>
      </c>
      <c r="D27" s="461">
        <f aca="true" t="shared" si="8" ref="D27:S27">D28+D38+D49+D52+D57+D65+D69+D73+D80+D85+D89+D93</f>
        <v>1572341953</v>
      </c>
      <c r="E27" s="461">
        <f t="shared" si="8"/>
        <v>118517158</v>
      </c>
      <c r="F27" s="461">
        <f t="shared" si="8"/>
        <v>885545</v>
      </c>
      <c r="G27" s="461">
        <f t="shared" si="8"/>
        <v>0</v>
      </c>
      <c r="H27" s="461">
        <f t="shared" si="8"/>
        <v>1689973566</v>
      </c>
      <c r="I27" s="461">
        <f t="shared" si="8"/>
        <v>805771939.591</v>
      </c>
      <c r="J27" s="461">
        <f t="shared" si="8"/>
        <v>19763486</v>
      </c>
      <c r="K27" s="461">
        <f t="shared" si="8"/>
        <v>30478419</v>
      </c>
      <c r="L27" s="461">
        <f t="shared" si="8"/>
        <v>16272</v>
      </c>
      <c r="M27" s="463">
        <f t="shared" si="8"/>
        <v>726785670.591</v>
      </c>
      <c r="N27" s="461">
        <f t="shared" si="8"/>
        <v>14104703</v>
      </c>
      <c r="O27" s="461">
        <f t="shared" si="8"/>
        <v>5247425</v>
      </c>
      <c r="P27" s="461">
        <f t="shared" si="8"/>
        <v>0</v>
      </c>
      <c r="Q27" s="461">
        <f t="shared" si="8"/>
        <v>9375964</v>
      </c>
      <c r="R27" s="461">
        <f t="shared" si="8"/>
        <v>884201626.409</v>
      </c>
      <c r="S27" s="461">
        <f t="shared" si="8"/>
        <v>1639715389</v>
      </c>
      <c r="T27" s="511">
        <f t="shared" si="2"/>
        <v>0.062372706879704004</v>
      </c>
      <c r="U27" s="383"/>
    </row>
    <row r="28" spans="1:21" s="385" customFormat="1" ht="30" customHeight="1">
      <c r="A28" s="440" t="s">
        <v>43</v>
      </c>
      <c r="B28" s="442" t="s">
        <v>551</v>
      </c>
      <c r="C28" s="463">
        <f t="shared" si="3"/>
        <v>595977639</v>
      </c>
      <c r="D28" s="515">
        <f>D29+D30+D31+D32+D33+D34+D35+D36+D37</f>
        <v>567431858</v>
      </c>
      <c r="E28" s="463">
        <f aca="true" t="shared" si="9" ref="E28:S28">E29+E30+E31+E32+E33+E34+E35+E36+E37</f>
        <v>28545781</v>
      </c>
      <c r="F28" s="463">
        <f t="shared" si="9"/>
        <v>806360</v>
      </c>
      <c r="G28" s="463">
        <f t="shared" si="9"/>
        <v>0</v>
      </c>
      <c r="H28" s="463">
        <f t="shared" si="9"/>
        <v>595171279</v>
      </c>
      <c r="I28" s="463">
        <f t="shared" si="9"/>
        <v>313294633</v>
      </c>
      <c r="J28" s="463">
        <f t="shared" si="9"/>
        <v>5255590</v>
      </c>
      <c r="K28" s="463">
        <f t="shared" si="9"/>
        <v>14495154</v>
      </c>
      <c r="L28" s="463">
        <f t="shared" si="9"/>
        <v>3723</v>
      </c>
      <c r="M28" s="463">
        <f t="shared" si="9"/>
        <v>276296420</v>
      </c>
      <c r="N28" s="463">
        <f t="shared" si="9"/>
        <v>11324204</v>
      </c>
      <c r="O28" s="463">
        <f t="shared" si="9"/>
        <v>3852544</v>
      </c>
      <c r="P28" s="463">
        <f t="shared" si="9"/>
        <v>0</v>
      </c>
      <c r="Q28" s="463">
        <f>Q29+Q30+Q31+Q32+Q33+Q34+Q35+Q36+Q37</f>
        <v>2066998</v>
      </c>
      <c r="R28" s="463">
        <f t="shared" si="9"/>
        <v>281876646</v>
      </c>
      <c r="S28" s="463">
        <f t="shared" si="9"/>
        <v>575416812</v>
      </c>
      <c r="T28" s="511">
        <f t="shared" si="2"/>
        <v>0.06305395917841976</v>
      </c>
      <c r="U28" s="383"/>
    </row>
    <row r="29" spans="1:21" s="385" customFormat="1" ht="30" customHeight="1">
      <c r="A29" s="428" t="s">
        <v>45</v>
      </c>
      <c r="B29" s="433" t="s">
        <v>569</v>
      </c>
      <c r="C29" s="463">
        <f t="shared" si="3"/>
        <v>31211225</v>
      </c>
      <c r="D29" s="516">
        <f>13786426+12810</f>
        <v>13799236</v>
      </c>
      <c r="E29" s="517">
        <f>'[13]Mẫu BC tiền theo CHV Mẫu 07'!$E$14-12810</f>
        <v>17411989</v>
      </c>
      <c r="F29" s="517">
        <f>'[13]Mẫu BC tiền theo CHV Mẫu 07'!$F$14</f>
        <v>0</v>
      </c>
      <c r="G29" s="517"/>
      <c r="H29" s="463">
        <f t="shared" si="4"/>
        <v>31211225</v>
      </c>
      <c r="I29" s="463">
        <f t="shared" si="5"/>
        <v>29425982</v>
      </c>
      <c r="J29" s="517">
        <f>'[13]Mẫu BC tiền theo CHV Mẫu 07'!$J$14</f>
        <v>1812822</v>
      </c>
      <c r="K29" s="517">
        <f>'[13]Mẫu BC tiền theo CHV Mẫu 07'!$K$14</f>
        <v>0</v>
      </c>
      <c r="L29" s="517">
        <f>'[13]Mẫu BC tiền theo CHV Mẫu 07'!$L$14</f>
        <v>0</v>
      </c>
      <c r="M29" s="513">
        <f t="shared" si="6"/>
        <v>27613160</v>
      </c>
      <c r="N29" s="517">
        <f>'[13]Mẫu BC tiền theo CHV Mẫu 07'!$N$14</f>
        <v>0</v>
      </c>
      <c r="O29" s="517">
        <f>'[13]Mẫu BC tiền theo CHV Mẫu 07'!$O$14</f>
        <v>0</v>
      </c>
      <c r="P29" s="517">
        <f>'[13]Mẫu BC tiền theo CHV Mẫu 07'!$P$14</f>
        <v>0</v>
      </c>
      <c r="Q29" s="517">
        <f>'[13]Mẫu BC tiền theo CHV Mẫu 07'!$Q$14</f>
        <v>0</v>
      </c>
      <c r="R29" s="518">
        <f>'[13]Mẫu BC tiền theo CHV Mẫu 07'!$R$14</f>
        <v>1785243</v>
      </c>
      <c r="S29" s="463">
        <f t="shared" si="7"/>
        <v>29398403</v>
      </c>
      <c r="T29" s="511">
        <f t="shared" si="2"/>
        <v>0.061606168317509334</v>
      </c>
      <c r="U29" s="383"/>
    </row>
    <row r="30" spans="1:21" s="385" customFormat="1" ht="30" customHeight="1">
      <c r="A30" s="428" t="s">
        <v>46</v>
      </c>
      <c r="B30" s="433" t="s">
        <v>458</v>
      </c>
      <c r="C30" s="463">
        <f t="shared" si="3"/>
        <v>30800752</v>
      </c>
      <c r="D30" s="516">
        <v>30350362</v>
      </c>
      <c r="E30" s="517">
        <f>'[13]Mẫu BC tiền theo CHV Mẫu 07'!$E$15</f>
        <v>450390</v>
      </c>
      <c r="F30" s="517">
        <f>'[13]Mẫu BC tiền theo CHV Mẫu 07'!$F$15</f>
        <v>200</v>
      </c>
      <c r="G30" s="517"/>
      <c r="H30" s="463">
        <f t="shared" si="4"/>
        <v>30800552</v>
      </c>
      <c r="I30" s="463">
        <f t="shared" si="5"/>
        <v>21049663</v>
      </c>
      <c r="J30" s="517">
        <f>'[13]Mẫu BC tiền theo CHV Mẫu 07'!$J$15</f>
        <v>35935</v>
      </c>
      <c r="K30" s="517">
        <f>'[13]Mẫu BC tiền theo CHV Mẫu 07'!$K$15</f>
        <v>14002387</v>
      </c>
      <c r="L30" s="517">
        <f>'[13]Mẫu BC tiền theo CHV Mẫu 07'!$L$15</f>
        <v>0</v>
      </c>
      <c r="M30" s="513">
        <f t="shared" si="6"/>
        <v>6641157</v>
      </c>
      <c r="N30" s="517">
        <f>'[13]Mẫu BC tiền theo CHV Mẫu 07'!$N$15</f>
        <v>229833</v>
      </c>
      <c r="O30" s="517">
        <f>'[13]Mẫu BC tiền theo CHV Mẫu 07'!$O$15</f>
        <v>140351</v>
      </c>
      <c r="P30" s="517">
        <f>'[13]Mẫu BC tiền theo CHV Mẫu 07'!$P$15</f>
        <v>0</v>
      </c>
      <c r="Q30" s="517">
        <f>'[13]Mẫu BC tiền theo CHV Mẫu 07'!$Q$15</f>
        <v>0</v>
      </c>
      <c r="R30" s="518">
        <f>'[13]Mẫu BC tiền theo CHV Mẫu 07'!$R$15</f>
        <v>9750889</v>
      </c>
      <c r="S30" s="463">
        <f t="shared" si="7"/>
        <v>16762230</v>
      </c>
      <c r="T30" s="511">
        <f t="shared" si="2"/>
        <v>0.6669143349230817</v>
      </c>
      <c r="U30" s="383"/>
    </row>
    <row r="31" spans="1:21" s="385" customFormat="1" ht="30" customHeight="1">
      <c r="A31" s="428" t="s">
        <v>104</v>
      </c>
      <c r="B31" s="434" t="s">
        <v>459</v>
      </c>
      <c r="C31" s="463">
        <f t="shared" si="3"/>
        <v>103880685</v>
      </c>
      <c r="D31" s="516">
        <v>100593262</v>
      </c>
      <c r="E31" s="517">
        <f>'[13]Mẫu BC tiền theo CHV Mẫu 07'!$E$16</f>
        <v>3287423</v>
      </c>
      <c r="F31" s="517">
        <f>'[13]Mẫu BC tiền theo CHV Mẫu 07'!$F$16</f>
        <v>0</v>
      </c>
      <c r="G31" s="517"/>
      <c r="H31" s="463">
        <f t="shared" si="4"/>
        <v>103880685</v>
      </c>
      <c r="I31" s="463">
        <f t="shared" si="5"/>
        <v>16341919</v>
      </c>
      <c r="J31" s="517">
        <f>'[13]Mẫu BC tiền theo CHV Mẫu 07'!$J$16</f>
        <v>1205266</v>
      </c>
      <c r="K31" s="517">
        <f>'[13]Mẫu BC tiền theo CHV Mẫu 07'!$K$16</f>
        <v>0</v>
      </c>
      <c r="L31" s="517">
        <f>'[13]Mẫu BC tiền theo CHV Mẫu 07'!$L$16</f>
        <v>0</v>
      </c>
      <c r="M31" s="513">
        <f t="shared" si="6"/>
        <v>13184839</v>
      </c>
      <c r="N31" s="517">
        <f>'[13]Mẫu BC tiền theo CHV Mẫu 07'!$N$16</f>
        <v>0</v>
      </c>
      <c r="O31" s="517">
        <f>'[13]Mẫu BC tiền theo CHV Mẫu 07'!$O$16</f>
        <v>0</v>
      </c>
      <c r="P31" s="517">
        <f>'[13]Mẫu BC tiền theo CHV Mẫu 07'!$P$16</f>
        <v>0</v>
      </c>
      <c r="Q31" s="517">
        <f>'[13]Mẫu BC tiền theo CHV Mẫu 07'!$Q$16</f>
        <v>1951814</v>
      </c>
      <c r="R31" s="518">
        <f>'[13]Mẫu BC tiền theo CHV Mẫu 07'!$R$16</f>
        <v>87538766</v>
      </c>
      <c r="S31" s="463">
        <f t="shared" si="7"/>
        <v>102675419</v>
      </c>
      <c r="T31" s="511">
        <f t="shared" si="2"/>
        <v>0.07375302741373274</v>
      </c>
      <c r="U31" s="383"/>
    </row>
    <row r="32" spans="1:21" s="385" customFormat="1" ht="30" customHeight="1">
      <c r="A32" s="428" t="s">
        <v>106</v>
      </c>
      <c r="B32" s="433" t="s">
        <v>460</v>
      </c>
      <c r="C32" s="463">
        <f t="shared" si="3"/>
        <v>31477693</v>
      </c>
      <c r="D32" s="516">
        <v>31469792</v>
      </c>
      <c r="E32" s="517">
        <f>'[13]Mẫu BC tiền theo CHV Mẫu 07'!$E$17</f>
        <v>7901</v>
      </c>
      <c r="F32" s="517">
        <f>'[13]Mẫu BC tiền theo CHV Mẫu 07'!$F$17</f>
        <v>806160</v>
      </c>
      <c r="G32" s="517"/>
      <c r="H32" s="463">
        <f t="shared" si="4"/>
        <v>30671533</v>
      </c>
      <c r="I32" s="463">
        <f t="shared" si="5"/>
        <v>25229615</v>
      </c>
      <c r="J32" s="517">
        <f>'[13]Mẫu BC tiền theo CHV Mẫu 07'!$J$17</f>
        <v>18000</v>
      </c>
      <c r="K32" s="517">
        <f>'[13]Mẫu BC tiền theo CHV Mẫu 07'!$K$17</f>
        <v>0</v>
      </c>
      <c r="L32" s="517">
        <f>'[13]Mẫu BC tiền theo CHV Mẫu 07'!$L$17</f>
        <v>3723</v>
      </c>
      <c r="M32" s="513">
        <f t="shared" si="6"/>
        <v>25207892</v>
      </c>
      <c r="N32" s="517">
        <f>'[13]Mẫu BC tiền theo CHV Mẫu 07'!$N$17</f>
        <v>0</v>
      </c>
      <c r="O32" s="517">
        <f>'[13]Mẫu BC tiền theo CHV Mẫu 07'!$O$17</f>
        <v>0</v>
      </c>
      <c r="P32" s="517">
        <f>'[13]Mẫu BC tiền theo CHV Mẫu 07'!$P$17</f>
        <v>0</v>
      </c>
      <c r="Q32" s="517">
        <f>'[13]Mẫu BC tiền theo CHV Mẫu 07'!$Q$17</f>
        <v>0</v>
      </c>
      <c r="R32" s="518">
        <f>'[13]Mẫu BC tiền theo CHV Mẫu 07'!$R$17</f>
        <v>5441918</v>
      </c>
      <c r="S32" s="463">
        <f t="shared" si="7"/>
        <v>30649810</v>
      </c>
      <c r="T32" s="511">
        <f t="shared" si="2"/>
        <v>0.0008610119496472696</v>
      </c>
      <c r="U32" s="383"/>
    </row>
    <row r="33" spans="1:21" s="385" customFormat="1" ht="30" customHeight="1">
      <c r="A33" s="428" t="s">
        <v>107</v>
      </c>
      <c r="B33" s="434" t="s">
        <v>570</v>
      </c>
      <c r="C33" s="463">
        <f t="shared" si="3"/>
        <v>4425239</v>
      </c>
      <c r="D33" s="516">
        <v>4418181</v>
      </c>
      <c r="E33" s="517">
        <f>'[13]Mẫu BC tiền theo CHV Mẫu 07'!$E$18</f>
        <v>7058</v>
      </c>
      <c r="F33" s="517">
        <f>'[13]Mẫu BC tiền theo CHV Mẫu 07'!$F$18</f>
        <v>0</v>
      </c>
      <c r="G33" s="517"/>
      <c r="H33" s="463">
        <f t="shared" si="4"/>
        <v>4425239</v>
      </c>
      <c r="I33" s="463">
        <f t="shared" si="5"/>
        <v>1971788</v>
      </c>
      <c r="J33" s="517">
        <f>'[13]Mẫu BC tiền theo CHV Mẫu 07'!$J$18</f>
        <v>34155</v>
      </c>
      <c r="K33" s="517">
        <f>'[13]Mẫu BC tiền theo CHV Mẫu 07'!$K$18</f>
        <v>3144</v>
      </c>
      <c r="L33" s="517">
        <f>'[13]Mẫu BC tiền theo CHV Mẫu 07'!$L$18</f>
        <v>0</v>
      </c>
      <c r="M33" s="513">
        <f t="shared" si="6"/>
        <v>1934489</v>
      </c>
      <c r="N33" s="517">
        <f>'[13]Mẫu BC tiền theo CHV Mẫu 07'!$N$18</f>
        <v>0</v>
      </c>
      <c r="O33" s="517">
        <f>'[13]Mẫu BC tiền theo CHV Mẫu 07'!$O$18</f>
        <v>0</v>
      </c>
      <c r="P33" s="517">
        <f>'[13]Mẫu BC tiền theo CHV Mẫu 07'!$P$18</f>
        <v>0</v>
      </c>
      <c r="Q33" s="517">
        <f>'[13]Mẫu BC tiền theo CHV Mẫu 07'!$Q$18</f>
        <v>0</v>
      </c>
      <c r="R33" s="518">
        <f>'[13]Mẫu BC tiền theo CHV Mẫu 07'!$R$18</f>
        <v>2453451</v>
      </c>
      <c r="S33" s="463">
        <f t="shared" si="7"/>
        <v>4387940</v>
      </c>
      <c r="T33" s="511">
        <f t="shared" si="2"/>
        <v>0.01891633380464837</v>
      </c>
      <c r="U33" s="383"/>
    </row>
    <row r="34" spans="1:21" s="385" customFormat="1" ht="30" customHeight="1">
      <c r="A34" s="428" t="s">
        <v>109</v>
      </c>
      <c r="B34" s="434" t="s">
        <v>461</v>
      </c>
      <c r="C34" s="463">
        <f t="shared" si="3"/>
        <v>170155340</v>
      </c>
      <c r="D34" s="516">
        <v>169911401</v>
      </c>
      <c r="E34" s="517">
        <f>'[13]Mẫu BC tiền theo CHV Mẫu 07'!$E$19</f>
        <v>243939</v>
      </c>
      <c r="F34" s="517">
        <f>'[13]Mẫu BC tiền theo CHV Mẫu 07'!$F$19</f>
        <v>0</v>
      </c>
      <c r="G34" s="517">
        <v>0</v>
      </c>
      <c r="H34" s="463">
        <f t="shared" si="4"/>
        <v>170155340</v>
      </c>
      <c r="I34" s="463">
        <f t="shared" si="5"/>
        <v>46348056</v>
      </c>
      <c r="J34" s="517">
        <f>'[13]Mẫu BC tiền theo CHV Mẫu 07'!$J$19</f>
        <v>554656</v>
      </c>
      <c r="K34" s="517">
        <f>'[13]Mẫu BC tiền theo CHV Mẫu 07'!$K$19</f>
        <v>14166</v>
      </c>
      <c r="L34" s="517">
        <f>'[13]Mẫu BC tiền theo CHV Mẫu 07'!$L$19</f>
        <v>0</v>
      </c>
      <c r="M34" s="513">
        <f t="shared" si="6"/>
        <v>42942718</v>
      </c>
      <c r="N34" s="517">
        <f>'[13]Mẫu BC tiền theo CHV Mẫu 07'!$N$19</f>
        <v>2585981</v>
      </c>
      <c r="O34" s="517">
        <f>'[13]Mẫu BC tiền theo CHV Mẫu 07'!$O$19</f>
        <v>135351</v>
      </c>
      <c r="P34" s="517">
        <f>'[13]Mẫu BC tiền theo CHV Mẫu 07'!$P$19</f>
        <v>0</v>
      </c>
      <c r="Q34" s="517">
        <f>'[13]Mẫu BC tiền theo CHV Mẫu 07'!$Q$19</f>
        <v>115184</v>
      </c>
      <c r="R34" s="518">
        <f>'[13]Mẫu BC tiền theo CHV Mẫu 07'!$R$19</f>
        <v>123807284</v>
      </c>
      <c r="S34" s="463">
        <f t="shared" si="7"/>
        <v>169586518</v>
      </c>
      <c r="T34" s="511">
        <f t="shared" si="2"/>
        <v>0.012272834053708747</v>
      </c>
      <c r="U34" s="383"/>
    </row>
    <row r="35" spans="1:21" s="385" customFormat="1" ht="30" customHeight="1">
      <c r="A35" s="428" t="s">
        <v>110</v>
      </c>
      <c r="B35" s="434" t="s">
        <v>462</v>
      </c>
      <c r="C35" s="463">
        <f t="shared" si="3"/>
        <v>62380242</v>
      </c>
      <c r="D35" s="516">
        <v>62014061</v>
      </c>
      <c r="E35" s="517">
        <f>'[13]Mẫu BC tiền theo CHV Mẫu 07'!$E$20</f>
        <v>366181</v>
      </c>
      <c r="F35" s="517">
        <f>'[13]Mẫu BC tiền theo CHV Mẫu 07'!$F$20</f>
        <v>0</v>
      </c>
      <c r="G35" s="517"/>
      <c r="H35" s="463">
        <f t="shared" si="4"/>
        <v>62380242</v>
      </c>
      <c r="I35" s="463">
        <f t="shared" si="5"/>
        <v>46967373</v>
      </c>
      <c r="J35" s="517">
        <f>'[13]Mẫu BC tiền theo CHV Mẫu 07'!$J$20</f>
        <v>220779</v>
      </c>
      <c r="K35" s="517">
        <f>'[13]Mẫu BC tiền theo CHV Mẫu 07'!$K$20</f>
        <v>15187</v>
      </c>
      <c r="L35" s="517">
        <f>'[13]Mẫu BC tiền theo CHV Mẫu 07'!$L$20</f>
        <v>0</v>
      </c>
      <c r="M35" s="513">
        <f t="shared" si="6"/>
        <v>43142364</v>
      </c>
      <c r="N35" s="517">
        <f>'[13]Mẫu BC tiền theo CHV Mẫu 07'!$N$20</f>
        <v>3589043</v>
      </c>
      <c r="O35" s="517">
        <f>'[13]Mẫu BC tiền theo CHV Mẫu 07'!$O$20</f>
        <v>0</v>
      </c>
      <c r="P35" s="517">
        <f>'[13]Mẫu BC tiền theo CHV Mẫu 07'!$P$20</f>
        <v>0</v>
      </c>
      <c r="Q35" s="517">
        <f>'[13]Mẫu BC tiền theo CHV Mẫu 07'!$Q$20</f>
        <v>0</v>
      </c>
      <c r="R35" s="518">
        <f>'[13]Mẫu BC tiền theo CHV Mẫu 07'!$R$20</f>
        <v>15412869</v>
      </c>
      <c r="S35" s="463">
        <f t="shared" si="7"/>
        <v>62144276</v>
      </c>
      <c r="T35" s="511">
        <f t="shared" si="2"/>
        <v>0.005024040837881224</v>
      </c>
      <c r="U35" s="383"/>
    </row>
    <row r="36" spans="1:21" s="385" customFormat="1" ht="30" customHeight="1">
      <c r="A36" s="428" t="s">
        <v>122</v>
      </c>
      <c r="B36" s="434" t="s">
        <v>463</v>
      </c>
      <c r="C36" s="463">
        <f t="shared" si="3"/>
        <v>80204512</v>
      </c>
      <c r="D36" s="516">
        <v>73449339</v>
      </c>
      <c r="E36" s="517">
        <f>'[13]Mẫu BC tiền theo CHV Mẫu 07'!$E$21</f>
        <v>6755173</v>
      </c>
      <c r="F36" s="517">
        <f>'[13]Mẫu BC tiền theo CHV Mẫu 07'!$F$21</f>
        <v>0</v>
      </c>
      <c r="G36" s="517"/>
      <c r="H36" s="463">
        <f t="shared" si="4"/>
        <v>80204512</v>
      </c>
      <c r="I36" s="463">
        <f t="shared" si="5"/>
        <v>74276149</v>
      </c>
      <c r="J36" s="517">
        <f>'[13]Mẫu BC tiền theo CHV Mẫu 07'!$J$21</f>
        <v>157505</v>
      </c>
      <c r="K36" s="517">
        <f>'[13]Mẫu BC tiền theo CHV Mẫu 07'!$K$21</f>
        <v>0</v>
      </c>
      <c r="L36" s="517">
        <f>'[13]Mẫu BC tiền theo CHV Mẫu 07'!$L$21</f>
        <v>0</v>
      </c>
      <c r="M36" s="513">
        <f t="shared" si="6"/>
        <v>73514145</v>
      </c>
      <c r="N36" s="517">
        <f>'[13]Mẫu BC tiền theo CHV Mẫu 07'!$N$21</f>
        <v>0</v>
      </c>
      <c r="O36" s="517">
        <f>'[13]Mẫu BC tiền theo CHV Mẫu 07'!$O$21</f>
        <v>604499</v>
      </c>
      <c r="P36" s="517">
        <f>'[13]Mẫu BC tiền theo CHV Mẫu 07'!$P$21</f>
        <v>0</v>
      </c>
      <c r="Q36" s="517">
        <f>'[13]Mẫu BC tiền theo CHV Mẫu 07'!$Q$21</f>
        <v>0</v>
      </c>
      <c r="R36" s="518">
        <f>'[13]Mẫu BC tiền theo CHV Mẫu 07'!$R$21</f>
        <v>5928363</v>
      </c>
      <c r="S36" s="463">
        <f t="shared" si="7"/>
        <v>80047007</v>
      </c>
      <c r="T36" s="511">
        <f t="shared" si="2"/>
        <v>0.0021205326625105456</v>
      </c>
      <c r="U36" s="383"/>
    </row>
    <row r="37" spans="1:21" s="385" customFormat="1" ht="30" customHeight="1">
      <c r="A37" s="428" t="s">
        <v>432</v>
      </c>
      <c r="B37" s="434" t="s">
        <v>464</v>
      </c>
      <c r="C37" s="463">
        <f t="shared" si="3"/>
        <v>81441951</v>
      </c>
      <c r="D37" s="516">
        <v>81426224</v>
      </c>
      <c r="E37" s="517">
        <f>'[13]Mẫu BC tiền theo CHV Mẫu 07'!$E$22</f>
        <v>15727</v>
      </c>
      <c r="F37" s="517">
        <f>'[13]Mẫu BC tiền theo CHV Mẫu 07'!$F$22</f>
        <v>0</v>
      </c>
      <c r="G37" s="517"/>
      <c r="H37" s="463">
        <f t="shared" si="4"/>
        <v>81441951</v>
      </c>
      <c r="I37" s="463">
        <f t="shared" si="5"/>
        <v>51684088</v>
      </c>
      <c r="J37" s="517">
        <f>'[13]Mẫu BC tiền theo CHV Mẫu 07'!$J$22</f>
        <v>1216472</v>
      </c>
      <c r="K37" s="517">
        <f>'[13]Mẫu BC tiền theo CHV Mẫu 07'!$K$22</f>
        <v>460270</v>
      </c>
      <c r="L37" s="517">
        <f>'[13]Mẫu BC tiền theo CHV Mẫu 07'!$L$22</f>
        <v>0</v>
      </c>
      <c r="M37" s="513">
        <f t="shared" si="6"/>
        <v>42115656</v>
      </c>
      <c r="N37" s="517">
        <f>'[13]Mẫu BC tiền theo CHV Mẫu 07'!$N$22</f>
        <v>4919347</v>
      </c>
      <c r="O37" s="517">
        <f>'[13]Mẫu BC tiền theo CHV Mẫu 07'!$O$22</f>
        <v>2972343</v>
      </c>
      <c r="P37" s="517">
        <f>'[13]Mẫu BC tiền theo CHV Mẫu 07'!$P$22</f>
        <v>0</v>
      </c>
      <c r="Q37" s="517">
        <f>'[13]Mẫu BC tiền theo CHV Mẫu 07'!$Q$22</f>
        <v>0</v>
      </c>
      <c r="R37" s="518">
        <f>'[13]Mẫu BC tiền theo CHV Mẫu 07'!$R$22</f>
        <v>29757863</v>
      </c>
      <c r="S37" s="463">
        <f t="shared" si="7"/>
        <v>79765209</v>
      </c>
      <c r="T37" s="511">
        <f t="shared" si="2"/>
        <v>0.032442131899473585</v>
      </c>
      <c r="U37" s="383"/>
    </row>
    <row r="38" spans="1:21" s="385" customFormat="1" ht="30" customHeight="1">
      <c r="A38" s="430" t="s">
        <v>44</v>
      </c>
      <c r="B38" s="431" t="s">
        <v>550</v>
      </c>
      <c r="C38" s="463">
        <f t="shared" si="3"/>
        <v>286591466</v>
      </c>
      <c r="D38" s="463">
        <f>D39+D40+D41+D42+D43+D44+D45+D46+D47+D48</f>
        <v>274369224</v>
      </c>
      <c r="E38" s="463">
        <f aca="true" t="shared" si="10" ref="E38:R38">E39+E40+E41+E42+E43+E44+E45+E46+E47+E48</f>
        <v>12222242</v>
      </c>
      <c r="F38" s="463">
        <f t="shared" si="10"/>
        <v>0</v>
      </c>
      <c r="G38" s="463">
        <f t="shared" si="10"/>
        <v>0</v>
      </c>
      <c r="H38" s="463">
        <f t="shared" si="4"/>
        <v>286591466</v>
      </c>
      <c r="I38" s="463">
        <f t="shared" si="5"/>
        <v>98815499</v>
      </c>
      <c r="J38" s="463">
        <f t="shared" si="10"/>
        <v>1280185</v>
      </c>
      <c r="K38" s="463">
        <f t="shared" si="10"/>
        <v>2511171</v>
      </c>
      <c r="L38" s="463">
        <f t="shared" si="10"/>
        <v>0</v>
      </c>
      <c r="M38" s="463">
        <f t="shared" si="6"/>
        <v>95024143</v>
      </c>
      <c r="N38" s="463">
        <f t="shared" si="10"/>
        <v>0</v>
      </c>
      <c r="O38" s="463">
        <f t="shared" si="10"/>
        <v>0</v>
      </c>
      <c r="P38" s="463">
        <f t="shared" si="10"/>
        <v>0</v>
      </c>
      <c r="Q38" s="463">
        <f t="shared" si="10"/>
        <v>0</v>
      </c>
      <c r="R38" s="463">
        <f t="shared" si="10"/>
        <v>187775967</v>
      </c>
      <c r="S38" s="463">
        <f t="shared" si="7"/>
        <v>282800110</v>
      </c>
      <c r="T38" s="511">
        <f t="shared" si="2"/>
        <v>0.03836802969542258</v>
      </c>
      <c r="U38" s="383"/>
    </row>
    <row r="39" spans="1:21" s="385" customFormat="1" ht="30" customHeight="1">
      <c r="A39" s="428" t="s">
        <v>47</v>
      </c>
      <c r="B39" s="432" t="s">
        <v>466</v>
      </c>
      <c r="C39" s="466">
        <f>D39+E39</f>
        <v>89695382</v>
      </c>
      <c r="D39" s="519">
        <v>84950269</v>
      </c>
      <c r="E39" s="519">
        <f>'[20]Mẫu BC tiền theo CHV Mẫu 07'!$E$13</f>
        <v>4745113</v>
      </c>
      <c r="F39" s="519"/>
      <c r="G39" s="520"/>
      <c r="H39" s="463">
        <f t="shared" si="4"/>
        <v>89695382</v>
      </c>
      <c r="I39" s="463">
        <f t="shared" si="5"/>
        <v>13950333</v>
      </c>
      <c r="J39" s="519">
        <v>129118</v>
      </c>
      <c r="K39" s="519">
        <v>2100000</v>
      </c>
      <c r="L39" s="521"/>
      <c r="M39" s="513">
        <f t="shared" si="6"/>
        <v>11721215</v>
      </c>
      <c r="N39" s="543"/>
      <c r="O39" s="544"/>
      <c r="P39" s="519"/>
      <c r="Q39" s="519"/>
      <c r="R39" s="519">
        <v>75745049</v>
      </c>
      <c r="S39" s="463">
        <f t="shared" si="7"/>
        <v>87466264</v>
      </c>
      <c r="T39" s="511">
        <f t="shared" si="2"/>
        <v>0.15978959068575638</v>
      </c>
      <c r="U39" s="383"/>
    </row>
    <row r="40" spans="1:21" s="385" customFormat="1" ht="30" customHeight="1">
      <c r="A40" s="428" t="s">
        <v>48</v>
      </c>
      <c r="B40" s="432" t="s">
        <v>467</v>
      </c>
      <c r="C40" s="466">
        <f aca="true" t="shared" si="11" ref="C40:C47">D40+E40</f>
        <v>31806955</v>
      </c>
      <c r="D40" s="519">
        <v>31806955</v>
      </c>
      <c r="E40" s="519">
        <f>'[20]Mẫu BC tiền theo CHV Mẫu 07'!$E$14</f>
        <v>0</v>
      </c>
      <c r="F40" s="519"/>
      <c r="G40" s="520"/>
      <c r="H40" s="463">
        <f t="shared" si="4"/>
        <v>31806955</v>
      </c>
      <c r="I40" s="463">
        <f t="shared" si="5"/>
        <v>29584050</v>
      </c>
      <c r="J40" s="519">
        <v>48263</v>
      </c>
      <c r="K40" s="519"/>
      <c r="L40" s="521"/>
      <c r="M40" s="513">
        <f t="shared" si="6"/>
        <v>29535787</v>
      </c>
      <c r="N40" s="543"/>
      <c r="O40" s="544"/>
      <c r="P40" s="519"/>
      <c r="Q40" s="519"/>
      <c r="R40" s="519">
        <v>2222905</v>
      </c>
      <c r="S40" s="463">
        <f t="shared" si="7"/>
        <v>31758692</v>
      </c>
      <c r="T40" s="511">
        <f t="shared" si="2"/>
        <v>0.0016313858312164832</v>
      </c>
      <c r="U40" s="383"/>
    </row>
    <row r="41" spans="1:21" s="385" customFormat="1" ht="30" customHeight="1">
      <c r="A41" s="428" t="s">
        <v>468</v>
      </c>
      <c r="B41" s="432" t="s">
        <v>469</v>
      </c>
      <c r="C41" s="466">
        <f t="shared" si="11"/>
        <v>59169756</v>
      </c>
      <c r="D41" s="519">
        <v>57932998</v>
      </c>
      <c r="E41" s="519">
        <f>'[20]Mẫu BC tiền theo CHV Mẫu 07'!$E$15</f>
        <v>1236758</v>
      </c>
      <c r="F41" s="519"/>
      <c r="G41" s="520"/>
      <c r="H41" s="463">
        <f t="shared" si="4"/>
        <v>59169756</v>
      </c>
      <c r="I41" s="463">
        <f t="shared" si="5"/>
        <v>16749700</v>
      </c>
      <c r="J41" s="519">
        <v>200466</v>
      </c>
      <c r="K41" s="519">
        <v>211171</v>
      </c>
      <c r="L41" s="521"/>
      <c r="M41" s="513">
        <f t="shared" si="6"/>
        <v>16338063</v>
      </c>
      <c r="N41" s="543"/>
      <c r="O41" s="544"/>
      <c r="P41" s="519"/>
      <c r="Q41" s="519"/>
      <c r="R41" s="519">
        <v>42420056</v>
      </c>
      <c r="S41" s="463">
        <f t="shared" si="7"/>
        <v>58758119</v>
      </c>
      <c r="T41" s="511">
        <f t="shared" si="2"/>
        <v>0.024575783446867706</v>
      </c>
      <c r="U41" s="383"/>
    </row>
    <row r="42" spans="1:21" s="385" customFormat="1" ht="30" customHeight="1">
      <c r="A42" s="428" t="s">
        <v>470</v>
      </c>
      <c r="B42" s="432" t="s">
        <v>471</v>
      </c>
      <c r="C42" s="466">
        <f t="shared" si="11"/>
        <v>25898346</v>
      </c>
      <c r="D42" s="519">
        <v>23272457</v>
      </c>
      <c r="E42" s="519">
        <f>'[20]Mẫu BC tiền theo CHV Mẫu 07'!$E$16</f>
        <v>2625889</v>
      </c>
      <c r="F42" s="519"/>
      <c r="G42" s="520"/>
      <c r="H42" s="463">
        <f t="shared" si="4"/>
        <v>25898346</v>
      </c>
      <c r="I42" s="463">
        <f t="shared" si="5"/>
        <v>9058357</v>
      </c>
      <c r="J42" s="519">
        <v>192236</v>
      </c>
      <c r="K42" s="519"/>
      <c r="L42" s="468"/>
      <c r="M42" s="513">
        <f t="shared" si="6"/>
        <v>8866121</v>
      </c>
      <c r="N42" s="543"/>
      <c r="O42" s="544"/>
      <c r="P42" s="519"/>
      <c r="Q42" s="519"/>
      <c r="R42" s="519">
        <v>16839989</v>
      </c>
      <c r="S42" s="463">
        <f t="shared" si="7"/>
        <v>25706110</v>
      </c>
      <c r="T42" s="511">
        <f t="shared" si="2"/>
        <v>0.021221950073285915</v>
      </c>
      <c r="U42" s="383"/>
    </row>
    <row r="43" spans="1:21" s="385" customFormat="1" ht="30" customHeight="1">
      <c r="A43" s="428" t="s">
        <v>472</v>
      </c>
      <c r="B43" s="432" t="s">
        <v>474</v>
      </c>
      <c r="C43" s="466">
        <f t="shared" si="11"/>
        <v>13086307</v>
      </c>
      <c r="D43" s="519">
        <v>11596607</v>
      </c>
      <c r="E43" s="519">
        <f>'[20]Mẫu BC tiền theo CHV Mẫu 07'!$E$17</f>
        <v>1489700</v>
      </c>
      <c r="F43" s="519"/>
      <c r="G43" s="520"/>
      <c r="H43" s="463">
        <f t="shared" si="4"/>
        <v>13086307</v>
      </c>
      <c r="I43" s="463">
        <f t="shared" si="5"/>
        <v>8426854</v>
      </c>
      <c r="J43" s="519">
        <v>177300</v>
      </c>
      <c r="K43" s="519"/>
      <c r="L43" s="468"/>
      <c r="M43" s="513">
        <f t="shared" si="6"/>
        <v>8249554</v>
      </c>
      <c r="N43" s="543"/>
      <c r="O43" s="544"/>
      <c r="P43" s="519"/>
      <c r="Q43" s="519"/>
      <c r="R43" s="519">
        <v>4659453</v>
      </c>
      <c r="S43" s="463">
        <f t="shared" si="7"/>
        <v>12909007</v>
      </c>
      <c r="T43" s="511">
        <f t="shared" si="2"/>
        <v>0.021039880363419135</v>
      </c>
      <c r="U43" s="383"/>
    </row>
    <row r="44" spans="1:21" s="385" customFormat="1" ht="30" customHeight="1">
      <c r="A44" s="428" t="s">
        <v>473</v>
      </c>
      <c r="B44" s="432" t="s">
        <v>476</v>
      </c>
      <c r="C44" s="466">
        <f t="shared" si="11"/>
        <v>14253451</v>
      </c>
      <c r="D44" s="519">
        <v>13597470</v>
      </c>
      <c r="E44" s="519">
        <f>'[20]Mẫu BC tiền theo CHV Mẫu 07'!$E$18</f>
        <v>655981</v>
      </c>
      <c r="F44" s="519"/>
      <c r="G44" s="520"/>
      <c r="H44" s="463">
        <f t="shared" si="4"/>
        <v>14253451</v>
      </c>
      <c r="I44" s="463">
        <f t="shared" si="5"/>
        <v>7397871</v>
      </c>
      <c r="J44" s="519">
        <v>173485</v>
      </c>
      <c r="K44" s="519"/>
      <c r="L44" s="522"/>
      <c r="M44" s="513">
        <f t="shared" si="6"/>
        <v>7224386</v>
      </c>
      <c r="N44" s="543"/>
      <c r="O44" s="544"/>
      <c r="P44" s="519"/>
      <c r="Q44" s="519"/>
      <c r="R44" s="519">
        <v>6855580</v>
      </c>
      <c r="S44" s="463">
        <f t="shared" si="7"/>
        <v>14079966</v>
      </c>
      <c r="T44" s="511">
        <f t="shared" si="2"/>
        <v>0.023450665738832158</v>
      </c>
      <c r="U44" s="383"/>
    </row>
    <row r="45" spans="1:21" s="385" customFormat="1" ht="30" customHeight="1">
      <c r="A45" s="428" t="s">
        <v>475</v>
      </c>
      <c r="B45" s="432" t="s">
        <v>478</v>
      </c>
      <c r="C45" s="466">
        <f t="shared" si="11"/>
        <v>5107588</v>
      </c>
      <c r="D45" s="519">
        <v>4291113</v>
      </c>
      <c r="E45" s="519">
        <f>'[20]Mẫu BC tiền theo CHV Mẫu 07'!$E$19</f>
        <v>816475</v>
      </c>
      <c r="F45" s="519"/>
      <c r="G45" s="520"/>
      <c r="H45" s="463">
        <f t="shared" si="4"/>
        <v>5107588</v>
      </c>
      <c r="I45" s="463">
        <f t="shared" si="5"/>
        <v>2742635</v>
      </c>
      <c r="J45" s="519">
        <v>186235</v>
      </c>
      <c r="K45" s="519">
        <v>200000</v>
      </c>
      <c r="L45" s="522"/>
      <c r="M45" s="513">
        <f t="shared" si="6"/>
        <v>2356400</v>
      </c>
      <c r="N45" s="543"/>
      <c r="O45" s="544"/>
      <c r="P45" s="519"/>
      <c r="Q45" s="519"/>
      <c r="R45" s="519">
        <v>2364953</v>
      </c>
      <c r="S45" s="463">
        <f t="shared" si="7"/>
        <v>4721353</v>
      </c>
      <c r="T45" s="511">
        <f t="shared" si="2"/>
        <v>0.14082624920924586</v>
      </c>
      <c r="U45" s="383"/>
    </row>
    <row r="46" spans="1:21" s="385" customFormat="1" ht="30" customHeight="1">
      <c r="A46" s="428" t="s">
        <v>477</v>
      </c>
      <c r="B46" s="432" t="s">
        <v>480</v>
      </c>
      <c r="C46" s="466">
        <f t="shared" si="11"/>
        <v>23381246</v>
      </c>
      <c r="D46" s="523">
        <v>22728920</v>
      </c>
      <c r="E46" s="519">
        <f>'[20]Mẫu BC tiền theo CHV Mẫu 07'!$E$20</f>
        <v>652326</v>
      </c>
      <c r="F46" s="523"/>
      <c r="G46" s="524"/>
      <c r="H46" s="463">
        <f t="shared" si="4"/>
        <v>23381246</v>
      </c>
      <c r="I46" s="463">
        <f t="shared" si="5"/>
        <v>2592956</v>
      </c>
      <c r="J46" s="525">
        <v>173082</v>
      </c>
      <c r="K46" s="525"/>
      <c r="L46" s="468"/>
      <c r="M46" s="513">
        <f t="shared" si="6"/>
        <v>2419874</v>
      </c>
      <c r="N46" s="543"/>
      <c r="O46" s="525"/>
      <c r="P46" s="525"/>
      <c r="Q46" s="527"/>
      <c r="R46" s="528">
        <v>20788290</v>
      </c>
      <c r="S46" s="463">
        <f t="shared" si="7"/>
        <v>23208164</v>
      </c>
      <c r="T46" s="511">
        <f t="shared" si="2"/>
        <v>0.06675084343891682</v>
      </c>
      <c r="U46" s="383"/>
    </row>
    <row r="47" spans="1:21" s="385" customFormat="1" ht="30" customHeight="1">
      <c r="A47" s="428" t="s">
        <v>479</v>
      </c>
      <c r="B47" s="432" t="s">
        <v>482</v>
      </c>
      <c r="C47" s="466">
        <f t="shared" si="11"/>
        <v>24192435</v>
      </c>
      <c r="D47" s="523">
        <v>24192435</v>
      </c>
      <c r="E47" s="519">
        <f>'[20]Mẫu BC tiền theo CHV Mẫu 07'!$E$21</f>
        <v>0</v>
      </c>
      <c r="F47" s="523"/>
      <c r="G47" s="524"/>
      <c r="H47" s="463">
        <f>C47-F47</f>
        <v>24192435</v>
      </c>
      <c r="I47" s="463">
        <f>H47-R47</f>
        <v>8312743</v>
      </c>
      <c r="J47" s="525"/>
      <c r="K47" s="525"/>
      <c r="L47" s="468"/>
      <c r="M47" s="513">
        <f>I47-N47-O47-P47-Q47-J47-K47-L47</f>
        <v>8312743</v>
      </c>
      <c r="N47" s="543"/>
      <c r="O47" s="525"/>
      <c r="P47" s="525"/>
      <c r="Q47" s="527"/>
      <c r="R47" s="528">
        <v>15879692</v>
      </c>
      <c r="S47" s="463">
        <f>H47-J47-K47-L47</f>
        <v>24192435</v>
      </c>
      <c r="T47" s="511">
        <f t="shared" si="2"/>
        <v>0</v>
      </c>
      <c r="U47" s="383"/>
    </row>
    <row r="48" spans="1:21" s="385" customFormat="1" ht="30" customHeight="1">
      <c r="A48" s="428" t="s">
        <v>481</v>
      </c>
      <c r="B48" s="432"/>
      <c r="C48" s="467"/>
      <c r="D48" s="523">
        <v>0</v>
      </c>
      <c r="E48" s="519">
        <f>C48-D48</f>
        <v>0</v>
      </c>
      <c r="F48" s="523"/>
      <c r="G48" s="524"/>
      <c r="H48" s="463">
        <f t="shared" si="4"/>
        <v>0</v>
      </c>
      <c r="I48" s="463">
        <f t="shared" si="5"/>
        <v>0</v>
      </c>
      <c r="J48" s="525"/>
      <c r="K48" s="525"/>
      <c r="L48" s="468"/>
      <c r="M48" s="513">
        <f t="shared" si="6"/>
        <v>0</v>
      </c>
      <c r="N48" s="526"/>
      <c r="O48" s="525"/>
      <c r="P48" s="525"/>
      <c r="Q48" s="527"/>
      <c r="R48" s="528">
        <v>0</v>
      </c>
      <c r="S48" s="463">
        <f t="shared" si="7"/>
        <v>0</v>
      </c>
      <c r="T48" s="511"/>
      <c r="U48" s="383"/>
    </row>
    <row r="49" spans="1:21" s="385" customFormat="1" ht="30" customHeight="1">
      <c r="A49" s="430" t="s">
        <v>49</v>
      </c>
      <c r="B49" s="431" t="s">
        <v>546</v>
      </c>
      <c r="C49" s="463">
        <f t="shared" si="3"/>
        <v>1909023</v>
      </c>
      <c r="D49" s="529">
        <f>D50+D51</f>
        <v>1858124</v>
      </c>
      <c r="E49" s="463">
        <f aca="true" t="shared" si="12" ref="E49:S49">E50+E51</f>
        <v>50899</v>
      </c>
      <c r="F49" s="463">
        <f t="shared" si="12"/>
        <v>0</v>
      </c>
      <c r="G49" s="463">
        <f t="shared" si="12"/>
        <v>0</v>
      </c>
      <c r="H49" s="463">
        <f t="shared" si="4"/>
        <v>1909023</v>
      </c>
      <c r="I49" s="463">
        <f t="shared" si="12"/>
        <v>1170946</v>
      </c>
      <c r="J49" s="463">
        <f t="shared" si="12"/>
        <v>1000</v>
      </c>
      <c r="K49" s="463">
        <f t="shared" si="12"/>
        <v>0</v>
      </c>
      <c r="L49" s="463">
        <f t="shared" si="12"/>
        <v>0</v>
      </c>
      <c r="M49" s="463">
        <f t="shared" si="12"/>
        <v>1169946</v>
      </c>
      <c r="N49" s="463">
        <f t="shared" si="12"/>
        <v>0</v>
      </c>
      <c r="O49" s="463">
        <f t="shared" si="12"/>
        <v>0</v>
      </c>
      <c r="P49" s="463">
        <f t="shared" si="12"/>
        <v>0</v>
      </c>
      <c r="Q49" s="463">
        <f t="shared" si="12"/>
        <v>0</v>
      </c>
      <c r="R49" s="463">
        <f t="shared" si="12"/>
        <v>738077</v>
      </c>
      <c r="S49" s="463">
        <f t="shared" si="12"/>
        <v>1908023</v>
      </c>
      <c r="T49" s="511">
        <f t="shared" si="2"/>
        <v>0.0008540103471893665</v>
      </c>
      <c r="U49" s="383"/>
    </row>
    <row r="50" spans="1:21" s="385" customFormat="1" ht="30" customHeight="1">
      <c r="A50" s="428" t="s">
        <v>113</v>
      </c>
      <c r="B50" s="432" t="s">
        <v>484</v>
      </c>
      <c r="C50" s="463">
        <f t="shared" si="3"/>
        <v>1909023</v>
      </c>
      <c r="D50" s="512">
        <v>1858124</v>
      </c>
      <c r="E50" s="530">
        <f>'[15]BM 07'!$E$14</f>
        <v>50899</v>
      </c>
      <c r="F50" s="530">
        <f>'[15]BM 07'!$F$14</f>
        <v>0</v>
      </c>
      <c r="G50" s="530"/>
      <c r="H50" s="463">
        <f t="shared" si="4"/>
        <v>1909023</v>
      </c>
      <c r="I50" s="463">
        <f t="shared" si="5"/>
        <v>1170946</v>
      </c>
      <c r="J50" s="530">
        <f>'[15]BM 07'!$J$14</f>
        <v>1000</v>
      </c>
      <c r="K50" s="512">
        <f>'[15]BM 07'!$K$14</f>
        <v>0</v>
      </c>
      <c r="L50" s="512"/>
      <c r="M50" s="513">
        <f t="shared" si="6"/>
        <v>1169946</v>
      </c>
      <c r="N50" s="530">
        <f>'[15]BM 07'!$N$14</f>
        <v>0</v>
      </c>
      <c r="O50" s="530">
        <f>'[15]BM 07'!$O$14</f>
        <v>0</v>
      </c>
      <c r="P50" s="530">
        <f>'[15]BM 07'!$P$14</f>
        <v>0</v>
      </c>
      <c r="Q50" s="530">
        <f>'[15]BM 07'!$Q$14</f>
        <v>0</v>
      </c>
      <c r="R50" s="530">
        <f>'[15]BM 07'!$R$14</f>
        <v>738077</v>
      </c>
      <c r="S50" s="463">
        <f t="shared" si="7"/>
        <v>1908023</v>
      </c>
      <c r="T50" s="511">
        <f t="shared" si="2"/>
        <v>0.0008540103471893665</v>
      </c>
      <c r="U50" s="383"/>
    </row>
    <row r="51" spans="1:21" s="385" customFormat="1" ht="30" customHeight="1">
      <c r="A51" s="428"/>
      <c r="B51" s="465"/>
      <c r="C51" s="463">
        <f t="shared" si="3"/>
        <v>0</v>
      </c>
      <c r="D51" s="512"/>
      <c r="E51" s="530"/>
      <c r="F51" s="530"/>
      <c r="G51" s="530"/>
      <c r="H51" s="463">
        <f t="shared" si="4"/>
        <v>0</v>
      </c>
      <c r="I51" s="463">
        <f t="shared" si="5"/>
        <v>0</v>
      </c>
      <c r="J51" s="530"/>
      <c r="K51" s="512"/>
      <c r="L51" s="512"/>
      <c r="M51" s="513">
        <f t="shared" si="6"/>
        <v>0</v>
      </c>
      <c r="N51" s="530"/>
      <c r="O51" s="530"/>
      <c r="P51" s="530"/>
      <c r="Q51" s="530"/>
      <c r="R51" s="530"/>
      <c r="S51" s="463">
        <f t="shared" si="7"/>
        <v>0</v>
      </c>
      <c r="T51" s="511"/>
      <c r="U51" s="383"/>
    </row>
    <row r="52" spans="1:21" s="385" customFormat="1" ht="30" customHeight="1">
      <c r="A52" s="430" t="s">
        <v>58</v>
      </c>
      <c r="B52" s="431" t="s">
        <v>485</v>
      </c>
      <c r="C52" s="463">
        <f t="shared" si="3"/>
        <v>49357300</v>
      </c>
      <c r="D52" s="463">
        <f>D53+D54+D55+D56</f>
        <v>37311058</v>
      </c>
      <c r="E52" s="463">
        <f>E53+E54+E55+E56</f>
        <v>12046242</v>
      </c>
      <c r="F52" s="463">
        <f>F53+F54+F55+F56</f>
        <v>0</v>
      </c>
      <c r="G52" s="463">
        <f>G53+G54+G55+G56</f>
        <v>0</v>
      </c>
      <c r="H52" s="463">
        <f t="shared" si="4"/>
        <v>49357300</v>
      </c>
      <c r="I52" s="463">
        <f aca="true" t="shared" si="13" ref="I52:S52">I53+I54+I55+I56</f>
        <v>23117181</v>
      </c>
      <c r="J52" s="463">
        <f t="shared" si="13"/>
        <v>949748</v>
      </c>
      <c r="K52" s="463">
        <f t="shared" si="13"/>
        <v>316847</v>
      </c>
      <c r="L52" s="463">
        <f t="shared" si="13"/>
        <v>0</v>
      </c>
      <c r="M52" s="463">
        <f t="shared" si="13"/>
        <v>21850586</v>
      </c>
      <c r="N52" s="463">
        <f t="shared" si="13"/>
        <v>0</v>
      </c>
      <c r="O52" s="463">
        <f t="shared" si="13"/>
        <v>0</v>
      </c>
      <c r="P52" s="463">
        <f t="shared" si="13"/>
        <v>0</v>
      </c>
      <c r="Q52" s="463">
        <f t="shared" si="13"/>
        <v>0</v>
      </c>
      <c r="R52" s="463">
        <f t="shared" si="13"/>
        <v>26240119</v>
      </c>
      <c r="S52" s="463">
        <f t="shared" si="13"/>
        <v>48090705</v>
      </c>
      <c r="T52" s="511">
        <f t="shared" si="2"/>
        <v>0.05479020127929958</v>
      </c>
      <c r="U52" s="383"/>
    </row>
    <row r="53" spans="1:21" s="385" customFormat="1" ht="30" customHeight="1">
      <c r="A53" s="428" t="s">
        <v>115</v>
      </c>
      <c r="B53" s="432" t="s">
        <v>486</v>
      </c>
      <c r="C53" s="463">
        <f t="shared" si="3"/>
        <v>22927945</v>
      </c>
      <c r="D53" s="531">
        <v>14386945</v>
      </c>
      <c r="E53" s="531">
        <f>'[17]Mẫu BC tiền theo CHV Mẫu 07'!$E$14</f>
        <v>8541000</v>
      </c>
      <c r="F53" s="531">
        <f>'[17]Mẫu BC tiền theo CHV Mẫu 07'!$F$14</f>
        <v>0</v>
      </c>
      <c r="G53" s="531">
        <v>0</v>
      </c>
      <c r="H53" s="463">
        <f t="shared" si="4"/>
        <v>22927945</v>
      </c>
      <c r="I53" s="463">
        <f t="shared" si="5"/>
        <v>10685330</v>
      </c>
      <c r="J53" s="531">
        <f>'[17]Mẫu BC tiền theo CHV Mẫu 07'!$J$14</f>
        <v>18200</v>
      </c>
      <c r="K53" s="531">
        <f>'[17]Mẫu BC tiền theo CHV Mẫu 07'!$K$14</f>
        <v>0</v>
      </c>
      <c r="L53" s="531">
        <f>'[17]Mẫu BC tiền theo CHV Mẫu 07'!$L$14</f>
        <v>0</v>
      </c>
      <c r="M53" s="513">
        <f t="shared" si="6"/>
        <v>10667130</v>
      </c>
      <c r="N53" s="531">
        <f>'[17]Mẫu BC tiền theo CHV Mẫu 07'!$O$14</f>
        <v>0</v>
      </c>
      <c r="O53" s="531">
        <f>'[17]Mẫu BC tiền theo CHV Mẫu 07'!$O$14</f>
        <v>0</v>
      </c>
      <c r="P53" s="531">
        <f>'[17]Mẫu BC tiền theo CHV Mẫu 07'!$P$14</f>
        <v>0</v>
      </c>
      <c r="Q53" s="532">
        <f>'[17]Mẫu BC tiền theo CHV Mẫu 07'!$Q$14</f>
        <v>0</v>
      </c>
      <c r="R53" s="533">
        <f>'[17]Mẫu BC tiền theo CHV Mẫu 07'!$R$14</f>
        <v>12242615</v>
      </c>
      <c r="S53" s="463">
        <f t="shared" si="7"/>
        <v>22909745</v>
      </c>
      <c r="T53" s="511">
        <f t="shared" si="2"/>
        <v>0.0017032698101041334</v>
      </c>
      <c r="U53" s="383"/>
    </row>
    <row r="54" spans="1:21" s="385" customFormat="1" ht="30" customHeight="1">
      <c r="A54" s="428" t="s">
        <v>116</v>
      </c>
      <c r="B54" s="432" t="s">
        <v>487</v>
      </c>
      <c r="C54" s="463">
        <f t="shared" si="3"/>
        <v>10671290</v>
      </c>
      <c r="D54" s="531">
        <v>10235976</v>
      </c>
      <c r="E54" s="531">
        <f>'[17]Mẫu BC tiền theo CHV Mẫu 07'!$E$15</f>
        <v>435314</v>
      </c>
      <c r="F54" s="531">
        <f>'[17]Mẫu BC tiền theo CHV Mẫu 07'!$F$15</f>
        <v>0</v>
      </c>
      <c r="G54" s="531">
        <v>0</v>
      </c>
      <c r="H54" s="463">
        <f t="shared" si="4"/>
        <v>10671290</v>
      </c>
      <c r="I54" s="463">
        <f t="shared" si="5"/>
        <v>5322405</v>
      </c>
      <c r="J54" s="531">
        <f>'[17]Mẫu BC tiền theo CHV Mẫu 07'!$J$15</f>
        <v>71990</v>
      </c>
      <c r="K54" s="531">
        <f>'[17]Mẫu BC tiền theo CHV Mẫu 07'!$K$15</f>
        <v>316847</v>
      </c>
      <c r="L54" s="531">
        <f>'[17]Mẫu BC tiền theo CHV Mẫu 07'!$L$15</f>
        <v>0</v>
      </c>
      <c r="M54" s="513">
        <f t="shared" si="6"/>
        <v>4933568</v>
      </c>
      <c r="N54" s="531">
        <f>'[17]Mẫu BC tiền theo CHV Mẫu 07'!$N$15</f>
        <v>0</v>
      </c>
      <c r="O54" s="531">
        <f>'[17]Mẫu BC tiền theo CHV Mẫu 07'!$O$15</f>
        <v>0</v>
      </c>
      <c r="P54" s="531">
        <f>'[17]Mẫu BC tiền theo CHV Mẫu 07'!$P$15</f>
        <v>0</v>
      </c>
      <c r="Q54" s="532">
        <f>'[17]Mẫu BC tiền theo CHV Mẫu 07'!$Q$15</f>
        <v>0</v>
      </c>
      <c r="R54" s="533">
        <f>'[17]Mẫu BC tiền theo CHV Mẫu 07'!$R$15</f>
        <v>5348885</v>
      </c>
      <c r="S54" s="463">
        <f t="shared" si="7"/>
        <v>10282453</v>
      </c>
      <c r="T54" s="511">
        <f t="shared" si="2"/>
        <v>0.07305663511138291</v>
      </c>
      <c r="U54" s="383"/>
    </row>
    <row r="55" spans="1:21" s="385" customFormat="1" ht="30" customHeight="1">
      <c r="A55" s="428" t="s">
        <v>117</v>
      </c>
      <c r="B55" s="443" t="s">
        <v>488</v>
      </c>
      <c r="C55" s="463">
        <f t="shared" si="3"/>
        <v>9227348</v>
      </c>
      <c r="D55" s="531">
        <v>6577826</v>
      </c>
      <c r="E55" s="531">
        <f>'[17]Mẫu BC tiền theo CHV Mẫu 07'!$E$16</f>
        <v>2649522</v>
      </c>
      <c r="F55" s="531">
        <f>'[17]Mẫu BC tiền theo CHV Mẫu 07'!$F$16</f>
        <v>0</v>
      </c>
      <c r="G55" s="531">
        <v>0</v>
      </c>
      <c r="H55" s="463">
        <f t="shared" si="4"/>
        <v>9227348</v>
      </c>
      <c r="I55" s="463">
        <f t="shared" si="5"/>
        <v>5362179</v>
      </c>
      <c r="J55" s="531">
        <f>'[17]Mẫu BC tiền theo CHV Mẫu 07'!$J$16</f>
        <v>693533</v>
      </c>
      <c r="K55" s="531">
        <f>'[17]Mẫu BC tiền theo CHV Mẫu 07'!$K$16</f>
        <v>0</v>
      </c>
      <c r="L55" s="531">
        <f>'[17]Mẫu BC tiền theo CHV Mẫu 07'!$L$16</f>
        <v>0</v>
      </c>
      <c r="M55" s="513">
        <f t="shared" si="6"/>
        <v>4668646</v>
      </c>
      <c r="N55" s="531">
        <f>'[17]Mẫu BC tiền theo CHV Mẫu 07'!$N$16</f>
        <v>0</v>
      </c>
      <c r="O55" s="531">
        <f>'[17]Mẫu BC tiền theo CHV Mẫu 07'!$O$16</f>
        <v>0</v>
      </c>
      <c r="P55" s="531">
        <f>'[17]Mẫu BC tiền theo CHV Mẫu 07'!$P$16</f>
        <v>0</v>
      </c>
      <c r="Q55" s="532">
        <f>'[17]Mẫu BC tiền theo CHV Mẫu 07'!$Q$16</f>
        <v>0</v>
      </c>
      <c r="R55" s="533">
        <f>'[17]Mẫu BC tiền theo CHV Mẫu 07'!$R$16</f>
        <v>3865169</v>
      </c>
      <c r="S55" s="463">
        <f t="shared" si="7"/>
        <v>8533815</v>
      </c>
      <c r="T55" s="511">
        <f t="shared" si="2"/>
        <v>0.12933790535526696</v>
      </c>
      <c r="U55" s="383"/>
    </row>
    <row r="56" spans="1:21" s="385" customFormat="1" ht="30" customHeight="1">
      <c r="A56" s="428" t="s">
        <v>118</v>
      </c>
      <c r="B56" s="445" t="s">
        <v>489</v>
      </c>
      <c r="C56" s="463">
        <f t="shared" si="3"/>
        <v>6530717</v>
      </c>
      <c r="D56" s="531">
        <v>6110311</v>
      </c>
      <c r="E56" s="531">
        <f>'[17]Mẫu BC tiền theo CHV Mẫu 07'!$E$17</f>
        <v>420406</v>
      </c>
      <c r="F56" s="531">
        <f>'[17]Mẫu BC tiền theo CHV Mẫu 07'!$F$17</f>
        <v>0</v>
      </c>
      <c r="G56" s="465" t="s">
        <v>445</v>
      </c>
      <c r="H56" s="463">
        <f t="shared" si="4"/>
        <v>6530717</v>
      </c>
      <c r="I56" s="463">
        <f t="shared" si="5"/>
        <v>1747267</v>
      </c>
      <c r="J56" s="531">
        <f>'[17]Mẫu BC tiền theo CHV Mẫu 07'!$J$17</f>
        <v>166025</v>
      </c>
      <c r="K56" s="531">
        <f>'[17]Mẫu BC tiền theo CHV Mẫu 07'!$K$17</f>
        <v>0</v>
      </c>
      <c r="L56" s="531" t="str">
        <f>'[17]Mẫu BC tiền theo CHV Mẫu 07'!$L$17</f>
        <v>0</v>
      </c>
      <c r="M56" s="513">
        <f t="shared" si="6"/>
        <v>1581242</v>
      </c>
      <c r="N56" s="531">
        <f>'[17]Mẫu BC tiền theo CHV Mẫu 07'!$N$17</f>
        <v>0</v>
      </c>
      <c r="O56" s="531">
        <f>'[17]Mẫu BC tiền theo CHV Mẫu 07'!$O$17</f>
        <v>0</v>
      </c>
      <c r="P56" s="531" t="str">
        <f>'[17]Mẫu BC tiền theo CHV Mẫu 07'!$P$17</f>
        <v>0</v>
      </c>
      <c r="Q56" s="531" t="str">
        <f>'[17]Mẫu BC tiền theo CHV Mẫu 07'!$Q$17</f>
        <v>0</v>
      </c>
      <c r="R56" s="531">
        <f>'[17]Mẫu BC tiền theo CHV Mẫu 07'!$R$17</f>
        <v>4783450</v>
      </c>
      <c r="S56" s="463">
        <f t="shared" si="7"/>
        <v>6364692</v>
      </c>
      <c r="T56" s="511">
        <f t="shared" si="2"/>
        <v>0.095019822385474</v>
      </c>
      <c r="U56" s="383"/>
    </row>
    <row r="57" spans="1:21" s="385" customFormat="1" ht="30" customHeight="1">
      <c r="A57" s="430" t="s">
        <v>59</v>
      </c>
      <c r="B57" s="431" t="s">
        <v>490</v>
      </c>
      <c r="C57" s="463">
        <f t="shared" si="3"/>
        <v>211033515</v>
      </c>
      <c r="D57" s="463">
        <f>D58+D59+D60+D61+D62+D63+D64</f>
        <v>186266497</v>
      </c>
      <c r="E57" s="463">
        <f>E58+E59+E60+E61+E62+E63+E64</f>
        <v>24767018</v>
      </c>
      <c r="F57" s="463">
        <f>F58+F59+F60+F61+F62+F63+F64</f>
        <v>2745</v>
      </c>
      <c r="G57" s="463">
        <f>G58+G59+G60+G61+G62+G63+G64</f>
        <v>0</v>
      </c>
      <c r="H57" s="463">
        <f t="shared" si="4"/>
        <v>211030770</v>
      </c>
      <c r="I57" s="463">
        <f t="shared" si="5"/>
        <v>147709723</v>
      </c>
      <c r="J57" s="463">
        <f>J58+J59+J60+J61+J62+J63+J64</f>
        <v>3286039</v>
      </c>
      <c r="K57" s="463">
        <f aca="true" t="shared" si="14" ref="K57:R57">K58+K59+K60+K61+K62+K63+K64</f>
        <v>12364552</v>
      </c>
      <c r="L57" s="463">
        <f t="shared" si="14"/>
        <v>0</v>
      </c>
      <c r="M57" s="463">
        <f t="shared" si="14"/>
        <v>123554430</v>
      </c>
      <c r="N57" s="463">
        <f t="shared" si="14"/>
        <v>1208886</v>
      </c>
      <c r="O57" s="463">
        <f t="shared" si="14"/>
        <v>0</v>
      </c>
      <c r="P57" s="463">
        <f t="shared" si="14"/>
        <v>0</v>
      </c>
      <c r="Q57" s="463">
        <f t="shared" si="14"/>
        <v>7295816</v>
      </c>
      <c r="R57" s="463">
        <f t="shared" si="14"/>
        <v>63321047</v>
      </c>
      <c r="S57" s="463">
        <f t="shared" si="7"/>
        <v>195380179</v>
      </c>
      <c r="T57" s="511">
        <f t="shared" si="2"/>
        <v>0.1059550494181077</v>
      </c>
      <c r="U57" s="383"/>
    </row>
    <row r="58" spans="1:21" s="385" customFormat="1" ht="30" customHeight="1">
      <c r="A58" s="428" t="s">
        <v>119</v>
      </c>
      <c r="B58" s="432" t="s">
        <v>559</v>
      </c>
      <c r="C58" s="463">
        <f t="shared" si="3"/>
        <v>75007815</v>
      </c>
      <c r="D58" s="512">
        <v>73160393</v>
      </c>
      <c r="E58" s="512">
        <f>'[8]07'!$E$12</f>
        <v>1847422</v>
      </c>
      <c r="F58" s="512">
        <f>'[8]07'!$F$12</f>
        <v>0</v>
      </c>
      <c r="G58" s="512"/>
      <c r="H58" s="463">
        <f t="shared" si="4"/>
        <v>75007815</v>
      </c>
      <c r="I58" s="463">
        <f t="shared" si="5"/>
        <v>42173907</v>
      </c>
      <c r="J58" s="512">
        <f>'[8]07'!$J$12</f>
        <v>88385</v>
      </c>
      <c r="K58" s="512">
        <f>'[8]07'!$K$12</f>
        <v>80000</v>
      </c>
      <c r="L58" s="512">
        <f>'[8]07'!$L$12</f>
        <v>0</v>
      </c>
      <c r="M58" s="513">
        <f t="shared" si="6"/>
        <v>42005522</v>
      </c>
      <c r="N58" s="512">
        <f>'[8]07'!$N$12</f>
        <v>0</v>
      </c>
      <c r="O58" s="512">
        <f>'[8]07'!$O$12</f>
        <v>0</v>
      </c>
      <c r="P58" s="512">
        <f>'[8]07'!$P$12</f>
        <v>0</v>
      </c>
      <c r="Q58" s="512">
        <f>'[8]07'!$Q$12</f>
        <v>0</v>
      </c>
      <c r="R58" s="514">
        <f>'[8]07'!$R$12</f>
        <v>32833908</v>
      </c>
      <c r="S58" s="463">
        <f t="shared" si="7"/>
        <v>74839430</v>
      </c>
      <c r="T58" s="511">
        <f t="shared" si="2"/>
        <v>0.003992634592758977</v>
      </c>
      <c r="U58" s="383"/>
    </row>
    <row r="59" spans="1:21" s="385" customFormat="1" ht="30" customHeight="1">
      <c r="A59" s="428" t="s">
        <v>120</v>
      </c>
      <c r="B59" s="432" t="s">
        <v>491</v>
      </c>
      <c r="C59" s="463">
        <f t="shared" si="3"/>
        <v>17717333</v>
      </c>
      <c r="D59" s="512">
        <v>16357840</v>
      </c>
      <c r="E59" s="512">
        <f>'[8]07'!$E$13</f>
        <v>1359493</v>
      </c>
      <c r="F59" s="512">
        <f>'[8]07'!$F$13</f>
        <v>0</v>
      </c>
      <c r="G59" s="512">
        <v>0</v>
      </c>
      <c r="H59" s="463">
        <f t="shared" si="4"/>
        <v>17717333</v>
      </c>
      <c r="I59" s="463">
        <f t="shared" si="5"/>
        <v>11476402</v>
      </c>
      <c r="J59" s="512">
        <f>'[8]07'!$J$13</f>
        <v>1046684</v>
      </c>
      <c r="K59" s="512">
        <f>'[8]07'!$K$13</f>
        <v>23500</v>
      </c>
      <c r="L59" s="512">
        <f>'[8]07'!$L$13</f>
        <v>0</v>
      </c>
      <c r="M59" s="513">
        <f t="shared" si="6"/>
        <v>10406218</v>
      </c>
      <c r="N59" s="512">
        <f>'[8]07'!$N$13</f>
        <v>0</v>
      </c>
      <c r="O59" s="512">
        <f>'[8]07'!$O$13</f>
        <v>0</v>
      </c>
      <c r="P59" s="512">
        <f>'[8]07'!$P$13</f>
        <v>0</v>
      </c>
      <c r="Q59" s="512">
        <f>'[8]07'!$Q$13</f>
        <v>0</v>
      </c>
      <c r="R59" s="514">
        <f>'[8]07'!$R$13</f>
        <v>6240931</v>
      </c>
      <c r="S59" s="463">
        <f t="shared" si="7"/>
        <v>16647149</v>
      </c>
      <c r="T59" s="511">
        <f t="shared" si="2"/>
        <v>0.09325082896189939</v>
      </c>
      <c r="U59" s="383"/>
    </row>
    <row r="60" spans="1:21" s="385" customFormat="1" ht="30" customHeight="1">
      <c r="A60" s="428" t="s">
        <v>121</v>
      </c>
      <c r="B60" s="432" t="s">
        <v>492</v>
      </c>
      <c r="C60" s="463">
        <f t="shared" si="3"/>
        <v>33613134</v>
      </c>
      <c r="D60" s="512">
        <v>25068310</v>
      </c>
      <c r="E60" s="512">
        <f>'[8]07'!$E$14</f>
        <v>8544824</v>
      </c>
      <c r="F60" s="512">
        <f>'[8]07'!$F$14</f>
        <v>0</v>
      </c>
      <c r="G60" s="512">
        <v>0</v>
      </c>
      <c r="H60" s="463">
        <f t="shared" si="4"/>
        <v>33613134</v>
      </c>
      <c r="I60" s="463">
        <f t="shared" si="5"/>
        <v>27446142</v>
      </c>
      <c r="J60" s="512">
        <f>'[8]07'!$J$14</f>
        <v>793469</v>
      </c>
      <c r="K60" s="512">
        <f>'[8]07'!$K$14</f>
        <v>8473771</v>
      </c>
      <c r="L60" s="512">
        <f>'[8]07'!$L$14</f>
        <v>0</v>
      </c>
      <c r="M60" s="513">
        <f t="shared" si="6"/>
        <v>18178902</v>
      </c>
      <c r="N60" s="512">
        <f>'[8]07'!$N$14</f>
        <v>0</v>
      </c>
      <c r="O60" s="512">
        <f>'[8]07'!$O$14</f>
        <v>0</v>
      </c>
      <c r="P60" s="512">
        <f>'[8]07'!$P$14</f>
        <v>0</v>
      </c>
      <c r="Q60" s="512">
        <f>'[8]07'!$Q$14</f>
        <v>0</v>
      </c>
      <c r="R60" s="514">
        <f>'[8]07'!$R$14</f>
        <v>6166992</v>
      </c>
      <c r="S60" s="463">
        <f t="shared" si="7"/>
        <v>24345894</v>
      </c>
      <c r="T60" s="511">
        <f t="shared" si="2"/>
        <v>0.3376518273497237</v>
      </c>
      <c r="U60" s="383"/>
    </row>
    <row r="61" spans="1:21" s="385" customFormat="1" ht="30" customHeight="1">
      <c r="A61" s="428" t="s">
        <v>493</v>
      </c>
      <c r="B61" s="432" t="s">
        <v>494</v>
      </c>
      <c r="C61" s="463">
        <f t="shared" si="3"/>
        <v>11437765</v>
      </c>
      <c r="D61" s="512">
        <v>7592460</v>
      </c>
      <c r="E61" s="512">
        <f>'[8]07'!$E$15</f>
        <v>3845305</v>
      </c>
      <c r="F61" s="512">
        <f>'[8]07'!$F$15</f>
        <v>0</v>
      </c>
      <c r="G61" s="512">
        <v>0</v>
      </c>
      <c r="H61" s="463">
        <f t="shared" si="4"/>
        <v>11437765</v>
      </c>
      <c r="I61" s="463">
        <f t="shared" si="5"/>
        <v>8100511</v>
      </c>
      <c r="J61" s="512">
        <f>'[8]07'!$J$15</f>
        <v>1097977</v>
      </c>
      <c r="K61" s="512">
        <f>'[8]07'!$K$15</f>
        <v>3787281</v>
      </c>
      <c r="L61" s="512">
        <f>'[8]07'!$L$15</f>
        <v>0</v>
      </c>
      <c r="M61" s="513">
        <f t="shared" si="6"/>
        <v>3215253</v>
      </c>
      <c r="N61" s="512">
        <f>'[8]07'!$N$15</f>
        <v>0</v>
      </c>
      <c r="O61" s="512">
        <f>'[8]07'!$O$15</f>
        <v>0</v>
      </c>
      <c r="P61" s="512">
        <f>'[8]07'!$P$15</f>
        <v>0</v>
      </c>
      <c r="Q61" s="512">
        <f>'[8]07'!$Q$15</f>
        <v>0</v>
      </c>
      <c r="R61" s="514">
        <f>'[8]07'!$R$15</f>
        <v>3337254</v>
      </c>
      <c r="S61" s="463">
        <f t="shared" si="7"/>
        <v>6552507</v>
      </c>
      <c r="T61" s="511">
        <f t="shared" si="2"/>
        <v>0.6030802254326918</v>
      </c>
      <c r="U61" s="383"/>
    </row>
    <row r="62" spans="1:21" s="385" customFormat="1" ht="30" customHeight="1">
      <c r="A62" s="428" t="s">
        <v>495</v>
      </c>
      <c r="B62" s="432" t="s">
        <v>496</v>
      </c>
      <c r="C62" s="463">
        <f t="shared" si="3"/>
        <v>15522528</v>
      </c>
      <c r="D62" s="512">
        <v>13378117</v>
      </c>
      <c r="E62" s="512">
        <f>'[8]07'!$E$16</f>
        <v>2144411</v>
      </c>
      <c r="F62" s="512">
        <f>'[8]07'!$F$16</f>
        <v>0</v>
      </c>
      <c r="G62" s="512">
        <v>0</v>
      </c>
      <c r="H62" s="463">
        <f t="shared" si="4"/>
        <v>15522528</v>
      </c>
      <c r="I62" s="463">
        <f t="shared" si="5"/>
        <v>12202764</v>
      </c>
      <c r="J62" s="512">
        <f>'[8]07'!$J$16</f>
        <v>19540</v>
      </c>
      <c r="K62" s="512">
        <f>'[8]07'!$K$16</f>
        <v>0</v>
      </c>
      <c r="L62" s="512">
        <f>'[8]07'!$L$16</f>
        <v>0</v>
      </c>
      <c r="M62" s="513">
        <f t="shared" si="6"/>
        <v>3854922</v>
      </c>
      <c r="N62" s="512">
        <f>'[8]07'!$N$16</f>
        <v>1032486</v>
      </c>
      <c r="O62" s="512">
        <f>'[8]07'!$O$16</f>
        <v>0</v>
      </c>
      <c r="P62" s="512">
        <f>'[8]07'!$P$17</f>
        <v>0</v>
      </c>
      <c r="Q62" s="512">
        <f>'[8]07'!$Q$16</f>
        <v>7295816</v>
      </c>
      <c r="R62" s="514">
        <f>'[8]07'!$R$16</f>
        <v>3319764</v>
      </c>
      <c r="S62" s="463">
        <f t="shared" si="7"/>
        <v>15502988</v>
      </c>
      <c r="T62" s="511">
        <f t="shared" si="2"/>
        <v>0.001601276563244196</v>
      </c>
      <c r="U62" s="383"/>
    </row>
    <row r="63" spans="1:21" s="385" customFormat="1" ht="30" customHeight="1">
      <c r="A63" s="428" t="s">
        <v>497</v>
      </c>
      <c r="B63" s="432" t="s">
        <v>498</v>
      </c>
      <c r="C63" s="463">
        <f t="shared" si="3"/>
        <v>51309563</v>
      </c>
      <c r="D63" s="512">
        <v>44349623</v>
      </c>
      <c r="E63" s="512">
        <f>'[8]07'!$E$17</f>
        <v>6959940</v>
      </c>
      <c r="F63" s="512">
        <f>'[8]07'!$F$17</f>
        <v>0</v>
      </c>
      <c r="G63" s="512">
        <v>0</v>
      </c>
      <c r="H63" s="463">
        <f t="shared" si="4"/>
        <v>51309563</v>
      </c>
      <c r="I63" s="463">
        <f t="shared" si="5"/>
        <v>41179821</v>
      </c>
      <c r="J63" s="512">
        <f>'[8]07'!$J$17</f>
        <v>146249</v>
      </c>
      <c r="K63" s="512">
        <f>'[8]07'!$K$17</f>
        <v>0</v>
      </c>
      <c r="L63" s="512">
        <f>'[8]07'!$L$17</f>
        <v>0</v>
      </c>
      <c r="M63" s="513">
        <f t="shared" si="6"/>
        <v>41033572</v>
      </c>
      <c r="N63" s="512">
        <f>'[8]07'!$N$17</f>
        <v>0</v>
      </c>
      <c r="O63" s="512">
        <f>'[8]07'!$O$17</f>
        <v>0</v>
      </c>
      <c r="P63" s="512">
        <f>'[8]07'!$P$17</f>
        <v>0</v>
      </c>
      <c r="Q63" s="512">
        <f>'[8]07'!$Q$17</f>
        <v>0</v>
      </c>
      <c r="R63" s="514">
        <f>'[8]07'!$R$17</f>
        <v>10129742</v>
      </c>
      <c r="S63" s="463">
        <f t="shared" si="7"/>
        <v>51163314</v>
      </c>
      <c r="T63" s="511">
        <f t="shared" si="2"/>
        <v>0.0035514724554047963</v>
      </c>
      <c r="U63" s="383"/>
    </row>
    <row r="64" spans="1:21" s="385" customFormat="1" ht="30" customHeight="1">
      <c r="A64" s="428" t="s">
        <v>547</v>
      </c>
      <c r="B64" s="432" t="s">
        <v>500</v>
      </c>
      <c r="C64" s="463">
        <f t="shared" si="3"/>
        <v>6425377</v>
      </c>
      <c r="D64" s="512">
        <v>6359754</v>
      </c>
      <c r="E64" s="512">
        <f>'[8]07'!$E$18</f>
        <v>65623</v>
      </c>
      <c r="F64" s="512">
        <f>'[8]07'!$F$18</f>
        <v>2745</v>
      </c>
      <c r="G64" s="512">
        <v>0</v>
      </c>
      <c r="H64" s="463">
        <f t="shared" si="4"/>
        <v>6422632</v>
      </c>
      <c r="I64" s="463">
        <f t="shared" si="5"/>
        <v>5130176</v>
      </c>
      <c r="J64" s="512">
        <f>'[8]07'!$J$18</f>
        <v>93735</v>
      </c>
      <c r="K64" s="512">
        <f>'[8]07'!$K$18</f>
        <v>0</v>
      </c>
      <c r="L64" s="512">
        <f>'[8]07'!$L$18</f>
        <v>0</v>
      </c>
      <c r="M64" s="513">
        <f t="shared" si="6"/>
        <v>4860041</v>
      </c>
      <c r="N64" s="512">
        <f>'[8]07'!$N$18</f>
        <v>176400</v>
      </c>
      <c r="O64" s="512">
        <f>'[8]07'!$O$18</f>
        <v>0</v>
      </c>
      <c r="P64" s="512">
        <f>'[8]07'!$P$18</f>
        <v>0</v>
      </c>
      <c r="Q64" s="512">
        <f>'[8]07'!$Q$18</f>
        <v>0</v>
      </c>
      <c r="R64" s="514">
        <f>'[8]07'!$R$18</f>
        <v>1292456</v>
      </c>
      <c r="S64" s="463">
        <f t="shared" si="7"/>
        <v>6328897</v>
      </c>
      <c r="T64" s="511">
        <f t="shared" si="2"/>
        <v>0.018271302972841477</v>
      </c>
      <c r="U64" s="383"/>
    </row>
    <row r="65" spans="1:21" s="385" customFormat="1" ht="30" customHeight="1">
      <c r="A65" s="430" t="s">
        <v>60</v>
      </c>
      <c r="B65" s="444" t="s">
        <v>501</v>
      </c>
      <c r="C65" s="463">
        <f>D65+E65</f>
        <v>287746709</v>
      </c>
      <c r="D65" s="463">
        <f>D66+D67+D68</f>
        <v>265268931</v>
      </c>
      <c r="E65" s="463">
        <f aca="true" t="shared" si="15" ref="E65:R65">E66+E67+E68</f>
        <v>22477778</v>
      </c>
      <c r="F65" s="463">
        <f t="shared" si="15"/>
        <v>62975</v>
      </c>
      <c r="G65" s="463">
        <f t="shared" si="15"/>
        <v>0</v>
      </c>
      <c r="H65" s="463">
        <f t="shared" si="4"/>
        <v>287683734</v>
      </c>
      <c r="I65" s="463">
        <f t="shared" si="5"/>
        <v>95714116</v>
      </c>
      <c r="J65" s="463">
        <f t="shared" si="15"/>
        <v>7533664</v>
      </c>
      <c r="K65" s="463">
        <f t="shared" si="15"/>
        <v>508369</v>
      </c>
      <c r="L65" s="463">
        <f t="shared" si="15"/>
        <v>0</v>
      </c>
      <c r="M65" s="513">
        <f t="shared" si="6"/>
        <v>87648483</v>
      </c>
      <c r="N65" s="463">
        <f t="shared" si="15"/>
        <v>0</v>
      </c>
      <c r="O65" s="463">
        <f t="shared" si="15"/>
        <v>23600</v>
      </c>
      <c r="P65" s="463">
        <f t="shared" si="15"/>
        <v>0</v>
      </c>
      <c r="Q65" s="463">
        <f t="shared" si="15"/>
        <v>0</v>
      </c>
      <c r="R65" s="463">
        <f t="shared" si="15"/>
        <v>191969618</v>
      </c>
      <c r="S65" s="463">
        <f t="shared" si="7"/>
        <v>279641701</v>
      </c>
      <c r="T65" s="511">
        <f t="shared" si="2"/>
        <v>0.08402138927971711</v>
      </c>
      <c r="U65" s="383"/>
    </row>
    <row r="66" spans="1:21" s="385" customFormat="1" ht="30" customHeight="1">
      <c r="A66" s="428" t="s">
        <v>504</v>
      </c>
      <c r="B66" s="458" t="s">
        <v>502</v>
      </c>
      <c r="C66" s="463">
        <f t="shared" si="3"/>
        <v>221170100</v>
      </c>
      <c r="D66" s="534">
        <v>206923122</v>
      </c>
      <c r="E66" s="534">
        <v>14246978</v>
      </c>
      <c r="F66" s="534"/>
      <c r="G66" s="535"/>
      <c r="H66" s="463">
        <f t="shared" si="4"/>
        <v>221170100</v>
      </c>
      <c r="I66" s="463">
        <f t="shared" si="5"/>
        <v>55023938</v>
      </c>
      <c r="J66" s="534">
        <v>452448</v>
      </c>
      <c r="K66" s="534">
        <v>283437</v>
      </c>
      <c r="L66" s="534">
        <v>0</v>
      </c>
      <c r="M66" s="513">
        <f t="shared" si="6"/>
        <v>54288053</v>
      </c>
      <c r="N66" s="534"/>
      <c r="O66" s="534"/>
      <c r="P66" s="534"/>
      <c r="Q66" s="534"/>
      <c r="R66" s="534">
        <v>166146162</v>
      </c>
      <c r="S66" s="463">
        <f t="shared" si="7"/>
        <v>220434215</v>
      </c>
      <c r="T66" s="511">
        <f t="shared" si="2"/>
        <v>0.013373906462311003</v>
      </c>
      <c r="U66" s="383"/>
    </row>
    <row r="67" spans="1:21" s="385" customFormat="1" ht="30" customHeight="1">
      <c r="A67" s="428" t="s">
        <v>556</v>
      </c>
      <c r="B67" s="458" t="s">
        <v>503</v>
      </c>
      <c r="C67" s="463">
        <f t="shared" si="3"/>
        <v>26865637</v>
      </c>
      <c r="D67" s="534">
        <v>23745471</v>
      </c>
      <c r="E67" s="534">
        <v>3120166</v>
      </c>
      <c r="F67" s="534">
        <v>7820</v>
      </c>
      <c r="G67" s="535"/>
      <c r="H67" s="463">
        <f t="shared" si="4"/>
        <v>26857817</v>
      </c>
      <c r="I67" s="463">
        <f t="shared" si="5"/>
        <v>8058950</v>
      </c>
      <c r="J67" s="534">
        <v>6568583</v>
      </c>
      <c r="K67" s="534">
        <v>45200</v>
      </c>
      <c r="L67" s="534"/>
      <c r="M67" s="513">
        <f t="shared" si="6"/>
        <v>1445167</v>
      </c>
      <c r="N67" s="534"/>
      <c r="O67" s="534"/>
      <c r="P67" s="534"/>
      <c r="Q67" s="534"/>
      <c r="R67" s="534">
        <v>18798867</v>
      </c>
      <c r="S67" s="463">
        <f t="shared" si="7"/>
        <v>20244034</v>
      </c>
      <c r="T67" s="511">
        <f t="shared" si="2"/>
        <v>0.8206755222454538</v>
      </c>
      <c r="U67" s="383"/>
    </row>
    <row r="68" spans="1:21" s="385" customFormat="1" ht="30" customHeight="1">
      <c r="A68" s="428" t="s">
        <v>557</v>
      </c>
      <c r="B68" s="458" t="s">
        <v>505</v>
      </c>
      <c r="C68" s="463">
        <f t="shared" si="3"/>
        <v>39710972</v>
      </c>
      <c r="D68" s="534">
        <v>34600338</v>
      </c>
      <c r="E68" s="534">
        <v>5110634</v>
      </c>
      <c r="F68" s="534">
        <v>55155</v>
      </c>
      <c r="G68" s="535"/>
      <c r="H68" s="463">
        <f t="shared" si="4"/>
        <v>39655817</v>
      </c>
      <c r="I68" s="463">
        <f t="shared" si="5"/>
        <v>32631228</v>
      </c>
      <c r="J68" s="534">
        <v>512633</v>
      </c>
      <c r="K68" s="534">
        <v>179732</v>
      </c>
      <c r="L68" s="534"/>
      <c r="M68" s="513">
        <f t="shared" si="6"/>
        <v>31915263</v>
      </c>
      <c r="N68" s="534"/>
      <c r="O68" s="534">
        <v>23600</v>
      </c>
      <c r="P68" s="534"/>
      <c r="Q68" s="534"/>
      <c r="R68" s="534">
        <v>7024589</v>
      </c>
      <c r="S68" s="463">
        <f t="shared" si="7"/>
        <v>38963452</v>
      </c>
      <c r="T68" s="511">
        <f t="shared" si="2"/>
        <v>0.02121786529149317</v>
      </c>
      <c r="U68" s="383"/>
    </row>
    <row r="69" spans="1:21" s="385" customFormat="1" ht="30" customHeight="1">
      <c r="A69" s="430" t="s">
        <v>61</v>
      </c>
      <c r="B69" s="431" t="s">
        <v>506</v>
      </c>
      <c r="C69" s="463">
        <f t="shared" si="3"/>
        <v>6356486</v>
      </c>
      <c r="D69" s="463">
        <f>D70+D71+D72</f>
        <v>5908156</v>
      </c>
      <c r="E69" s="463">
        <f aca="true" t="shared" si="16" ref="E69:S69">E70+E71+E72</f>
        <v>448330</v>
      </c>
      <c r="F69" s="463">
        <f t="shared" si="16"/>
        <v>0</v>
      </c>
      <c r="G69" s="463">
        <f t="shared" si="16"/>
        <v>0</v>
      </c>
      <c r="H69" s="463">
        <f t="shared" si="16"/>
        <v>6356486</v>
      </c>
      <c r="I69" s="463">
        <f t="shared" si="16"/>
        <v>3905716</v>
      </c>
      <c r="J69" s="463">
        <f t="shared" si="16"/>
        <v>51813</v>
      </c>
      <c r="K69" s="463">
        <f t="shared" si="16"/>
        <v>0</v>
      </c>
      <c r="L69" s="463">
        <f t="shared" si="16"/>
        <v>0</v>
      </c>
      <c r="M69" s="463">
        <f t="shared" si="16"/>
        <v>3853903</v>
      </c>
      <c r="N69" s="463">
        <f t="shared" si="16"/>
        <v>0</v>
      </c>
      <c r="O69" s="463">
        <f t="shared" si="16"/>
        <v>0</v>
      </c>
      <c r="P69" s="463">
        <f t="shared" si="16"/>
        <v>0</v>
      </c>
      <c r="Q69" s="463">
        <f t="shared" si="16"/>
        <v>0</v>
      </c>
      <c r="R69" s="463">
        <f t="shared" si="16"/>
        <v>2450770</v>
      </c>
      <c r="S69" s="463">
        <f t="shared" si="16"/>
        <v>6304673</v>
      </c>
      <c r="T69" s="511">
        <f t="shared" si="2"/>
        <v>0.01326594150726781</v>
      </c>
      <c r="U69" s="383"/>
    </row>
    <row r="70" spans="1:21" s="385" customFormat="1" ht="30" customHeight="1">
      <c r="A70" s="428" t="s">
        <v>507</v>
      </c>
      <c r="B70" s="446" t="s">
        <v>508</v>
      </c>
      <c r="C70" s="463">
        <f t="shared" si="3"/>
        <v>2821638</v>
      </c>
      <c r="D70" s="512">
        <f>'[10]Mẫu BC tiền theo CHV Mẫu 07'!$D$13</f>
        <v>2641393</v>
      </c>
      <c r="E70" s="512">
        <f>'[10]Mẫu BC tiền theo CHV Mẫu 07'!$E$13</f>
        <v>180245</v>
      </c>
      <c r="F70" s="512">
        <f>'[10]Mẫu BC tiền theo CHV Mẫu 07'!$F$13</f>
        <v>0</v>
      </c>
      <c r="G70" s="512"/>
      <c r="H70" s="463">
        <f t="shared" si="4"/>
        <v>2821638</v>
      </c>
      <c r="I70" s="463">
        <f t="shared" si="5"/>
        <v>2442070</v>
      </c>
      <c r="J70" s="512">
        <f>'[10]Mẫu BC tiền theo CHV Mẫu 07'!$J$13</f>
        <v>42100</v>
      </c>
      <c r="K70" s="512">
        <f>'[10]Mẫu BC tiền theo CHV Mẫu 07'!$K$13</f>
        <v>0</v>
      </c>
      <c r="L70" s="512">
        <f>'[10]Mẫu BC tiền theo CHV Mẫu 07'!$L$13</f>
        <v>0</v>
      </c>
      <c r="M70" s="513">
        <f t="shared" si="6"/>
        <v>2399970</v>
      </c>
      <c r="N70" s="512"/>
      <c r="O70" s="512"/>
      <c r="P70" s="512"/>
      <c r="Q70" s="514"/>
      <c r="R70" s="514">
        <f>'[10]Mẫu BC tiền theo CHV Mẫu 07'!$R$13</f>
        <v>379568</v>
      </c>
      <c r="S70" s="463">
        <f t="shared" si="7"/>
        <v>2779538</v>
      </c>
      <c r="T70" s="511">
        <f t="shared" si="2"/>
        <v>0.01723947306997752</v>
      </c>
      <c r="U70" s="383"/>
    </row>
    <row r="71" spans="1:21" s="385" customFormat="1" ht="30" customHeight="1">
      <c r="A71" s="428" t="s">
        <v>509</v>
      </c>
      <c r="B71" s="446" t="s">
        <v>510</v>
      </c>
      <c r="C71" s="463">
        <f t="shared" si="3"/>
        <v>2478726</v>
      </c>
      <c r="D71" s="512">
        <f>'[10]Mẫu BC tiền theo CHV Mẫu 07'!$D$14</f>
        <v>2300119</v>
      </c>
      <c r="E71" s="512">
        <f>'[10]Mẫu BC tiền theo CHV Mẫu 07'!$E$14</f>
        <v>178607</v>
      </c>
      <c r="F71" s="512">
        <f>'[10]Mẫu BC tiền theo CHV Mẫu 07'!$F$14</f>
        <v>0</v>
      </c>
      <c r="G71" s="512"/>
      <c r="H71" s="463">
        <f t="shared" si="4"/>
        <v>2478726</v>
      </c>
      <c r="I71" s="463">
        <f t="shared" si="5"/>
        <v>550752</v>
      </c>
      <c r="J71" s="512">
        <f>'[10]Mẫu BC tiền theo CHV Mẫu 07'!$J$14</f>
        <v>9713</v>
      </c>
      <c r="K71" s="512">
        <f>'[10]Mẫu BC tiền theo CHV Mẫu 07'!$K$14</f>
        <v>0</v>
      </c>
      <c r="L71" s="512">
        <f>'[10]Mẫu BC tiền theo CHV Mẫu 07'!$L$14</f>
        <v>0</v>
      </c>
      <c r="M71" s="513">
        <f t="shared" si="6"/>
        <v>541039</v>
      </c>
      <c r="N71" s="512"/>
      <c r="O71" s="512"/>
      <c r="P71" s="512"/>
      <c r="Q71" s="514"/>
      <c r="R71" s="514">
        <f>'[10]Mẫu BC tiền theo CHV Mẫu 07'!$R$14</f>
        <v>1927974</v>
      </c>
      <c r="S71" s="463">
        <f t="shared" si="7"/>
        <v>2469013</v>
      </c>
      <c r="T71" s="511">
        <f aca="true" t="shared" si="17" ref="T71:T95">(J71+K71+L71)/I71</f>
        <v>0.01763588693277555</v>
      </c>
      <c r="U71" s="383"/>
    </row>
    <row r="72" spans="1:21" s="385" customFormat="1" ht="30" customHeight="1">
      <c r="A72" s="428" t="s">
        <v>563</v>
      </c>
      <c r="B72" s="446" t="s">
        <v>565</v>
      </c>
      <c r="C72" s="463">
        <f t="shared" si="3"/>
        <v>1056122</v>
      </c>
      <c r="D72" s="512">
        <f>'[10]Mẫu BC tiền theo CHV Mẫu 07'!$D$15</f>
        <v>966644</v>
      </c>
      <c r="E72" s="512">
        <f>'[10]Mẫu BC tiền theo CHV Mẫu 07'!$E$15</f>
        <v>89478</v>
      </c>
      <c r="F72" s="512">
        <f>'[10]Mẫu BC tiền theo CHV Mẫu 07'!$F$15</f>
        <v>0</v>
      </c>
      <c r="G72" s="512"/>
      <c r="H72" s="463">
        <f t="shared" si="4"/>
        <v>1056122</v>
      </c>
      <c r="I72" s="463">
        <f t="shared" si="5"/>
        <v>912894</v>
      </c>
      <c r="J72" s="512">
        <f>'[10]Mẫu BC tiền theo CHV Mẫu 07'!$J$15</f>
        <v>0</v>
      </c>
      <c r="K72" s="512">
        <f>'[10]Mẫu BC tiền theo CHV Mẫu 07'!$K$15</f>
        <v>0</v>
      </c>
      <c r="L72" s="512">
        <f>'[10]Mẫu BC tiền theo CHV Mẫu 07'!$L$15</f>
        <v>0</v>
      </c>
      <c r="M72" s="513">
        <f t="shared" si="6"/>
        <v>912894</v>
      </c>
      <c r="N72" s="512"/>
      <c r="O72" s="512"/>
      <c r="P72" s="512"/>
      <c r="Q72" s="514"/>
      <c r="R72" s="514">
        <f>'[10]Mẫu BC tiền theo CHV Mẫu 07'!$R$15</f>
        <v>143228</v>
      </c>
      <c r="S72" s="463">
        <f t="shared" si="7"/>
        <v>1056122</v>
      </c>
      <c r="T72" s="511">
        <f t="shared" si="17"/>
        <v>0</v>
      </c>
      <c r="U72" s="383"/>
    </row>
    <row r="73" spans="1:21" s="385" customFormat="1" ht="30" customHeight="1">
      <c r="A73" s="430" t="s">
        <v>62</v>
      </c>
      <c r="B73" s="444" t="s">
        <v>511</v>
      </c>
      <c r="C73" s="463">
        <f t="shared" si="3"/>
        <v>92571367</v>
      </c>
      <c r="D73" s="463">
        <f aca="true" t="shared" si="18" ref="D73:J73">D74+D75+D76+D77+D78+D79</f>
        <v>87060927</v>
      </c>
      <c r="E73" s="463">
        <f t="shared" si="18"/>
        <v>5510440</v>
      </c>
      <c r="F73" s="463">
        <f t="shared" si="18"/>
        <v>0</v>
      </c>
      <c r="G73" s="463">
        <f t="shared" si="18"/>
        <v>0</v>
      </c>
      <c r="H73" s="463">
        <f t="shared" si="18"/>
        <v>92571367</v>
      </c>
      <c r="I73" s="463">
        <f t="shared" si="18"/>
        <v>50753123.591</v>
      </c>
      <c r="J73" s="463">
        <f t="shared" si="18"/>
        <v>423576</v>
      </c>
      <c r="K73" s="463">
        <f aca="true" t="shared" si="19" ref="K73:R73">K74+K75+K76+K77+K78+K79</f>
        <v>17296</v>
      </c>
      <c r="L73" s="463">
        <f t="shared" si="19"/>
        <v>12549</v>
      </c>
      <c r="M73" s="463">
        <f t="shared" si="19"/>
        <v>48249935.591</v>
      </c>
      <c r="N73" s="463">
        <f t="shared" si="19"/>
        <v>746437</v>
      </c>
      <c r="O73" s="463">
        <f t="shared" si="19"/>
        <v>1303330</v>
      </c>
      <c r="P73" s="463">
        <f t="shared" si="19"/>
        <v>0</v>
      </c>
      <c r="Q73" s="463">
        <f t="shared" si="19"/>
        <v>0</v>
      </c>
      <c r="R73" s="463">
        <f t="shared" si="19"/>
        <v>41818243.409</v>
      </c>
      <c r="S73" s="463">
        <f t="shared" si="7"/>
        <v>92117946</v>
      </c>
      <c r="T73" s="511">
        <f t="shared" si="17"/>
        <v>0.008933854074755011</v>
      </c>
      <c r="U73" s="383"/>
    </row>
    <row r="74" spans="1:21" s="385" customFormat="1" ht="30" customHeight="1">
      <c r="A74" s="428" t="s">
        <v>512</v>
      </c>
      <c r="B74" s="447" t="s">
        <v>513</v>
      </c>
      <c r="C74" s="463">
        <f t="shared" si="3"/>
        <v>71613</v>
      </c>
      <c r="D74" s="536">
        <v>0</v>
      </c>
      <c r="E74" s="530">
        <f>'[9]Mẫu BC tiền theo CHV Mẫu 07'!$E$14</f>
        <v>71613</v>
      </c>
      <c r="F74" s="530">
        <f>'[9]Mẫu BC tiền theo CHV Mẫu 07'!$F$14</f>
        <v>0</v>
      </c>
      <c r="G74" s="537">
        <v>0</v>
      </c>
      <c r="H74" s="463">
        <f t="shared" si="4"/>
        <v>71613</v>
      </c>
      <c r="I74" s="463">
        <f t="shared" si="5"/>
        <v>71613</v>
      </c>
      <c r="J74" s="530">
        <f>'[9]Mẫu BC tiền theo CHV Mẫu 07'!$J$14</f>
        <v>65411</v>
      </c>
      <c r="K74" s="530">
        <f>'[9]Mẫu BC tiền theo CHV Mẫu 07'!$K$14</f>
        <v>0</v>
      </c>
      <c r="L74" s="530">
        <f>'[9]Mẫu BC tiền theo CHV Mẫu 07'!$L$14</f>
        <v>0</v>
      </c>
      <c r="M74" s="513">
        <f t="shared" si="6"/>
        <v>6202</v>
      </c>
      <c r="N74" s="530">
        <f>'[9]Mẫu BC tiền theo CHV Mẫu 07'!$N$14</f>
        <v>0</v>
      </c>
      <c r="O74" s="530">
        <f>'[9]Mẫu BC tiền theo CHV Mẫu 07'!$O$14</f>
        <v>0</v>
      </c>
      <c r="P74" s="530">
        <f>'[9]Mẫu BC tiền theo CHV Mẫu 07'!$P$14</f>
        <v>0</v>
      </c>
      <c r="Q74" s="530">
        <f>'[9]Mẫu BC tiền theo CHV Mẫu 07'!$Q$14</f>
        <v>0</v>
      </c>
      <c r="R74" s="530">
        <f>'[9]Mẫu BC tiền theo CHV Mẫu 07'!$R$14</f>
        <v>0</v>
      </c>
      <c r="S74" s="463">
        <f t="shared" si="7"/>
        <v>6202</v>
      </c>
      <c r="T74" s="511">
        <f t="shared" si="17"/>
        <v>0.9133956125284516</v>
      </c>
      <c r="U74" s="383"/>
    </row>
    <row r="75" spans="1:21" s="385" customFormat="1" ht="30" customHeight="1">
      <c r="A75" s="428" t="s">
        <v>514</v>
      </c>
      <c r="B75" s="447" t="s">
        <v>515</v>
      </c>
      <c r="C75" s="463">
        <f t="shared" si="3"/>
        <v>20312440</v>
      </c>
      <c r="D75" s="536">
        <v>17677973</v>
      </c>
      <c r="E75" s="530">
        <f>'[9]Mẫu BC tiền theo CHV Mẫu 07'!$E$15</f>
        <v>2634467</v>
      </c>
      <c r="F75" s="530">
        <f>'[9]Mẫu BC tiền theo CHV Mẫu 07'!$F$15</f>
        <v>0</v>
      </c>
      <c r="G75" s="537">
        <v>0</v>
      </c>
      <c r="H75" s="463">
        <f t="shared" si="4"/>
        <v>20312440</v>
      </c>
      <c r="I75" s="463">
        <f t="shared" si="5"/>
        <v>16748102.591</v>
      </c>
      <c r="J75" s="530">
        <f>'[9]Mẫu BC tiền theo CHV Mẫu 07'!$J$15</f>
        <v>103047</v>
      </c>
      <c r="K75" s="530">
        <f>'[9]Mẫu BC tiền theo CHV Mẫu 07'!$K$15</f>
        <v>0</v>
      </c>
      <c r="L75" s="530">
        <f>'[9]Mẫu BC tiền theo CHV Mẫu 07'!$L$15</f>
        <v>0</v>
      </c>
      <c r="M75" s="513">
        <f t="shared" si="6"/>
        <v>16645055.591</v>
      </c>
      <c r="N75" s="530">
        <f>'[9]Mẫu BC tiền theo CHV Mẫu 07'!$N$15</f>
        <v>0</v>
      </c>
      <c r="O75" s="530">
        <f>'[9]Mẫu BC tiền theo CHV Mẫu 07'!$O$15</f>
        <v>0</v>
      </c>
      <c r="P75" s="530">
        <f>'[9]Mẫu BC tiền theo CHV Mẫu 07'!$P$15</f>
        <v>0</v>
      </c>
      <c r="Q75" s="530">
        <f>'[9]Mẫu BC tiền theo CHV Mẫu 07'!$Q$15</f>
        <v>0</v>
      </c>
      <c r="R75" s="530">
        <f>'[9]Mẫu BC tiền theo CHV Mẫu 07'!$R$15</f>
        <v>3564337.409</v>
      </c>
      <c r="S75" s="463">
        <f t="shared" si="7"/>
        <v>20209393</v>
      </c>
      <c r="T75" s="511">
        <f t="shared" si="17"/>
        <v>0.00615275667438142</v>
      </c>
      <c r="U75" s="383"/>
    </row>
    <row r="76" spans="1:21" s="385" customFormat="1" ht="30" customHeight="1">
      <c r="A76" s="428" t="s">
        <v>516</v>
      </c>
      <c r="B76" s="447" t="s">
        <v>517</v>
      </c>
      <c r="C76" s="463">
        <f t="shared" si="3"/>
        <v>12980834</v>
      </c>
      <c r="D76" s="536">
        <v>11207107</v>
      </c>
      <c r="E76" s="530">
        <f>'[9]Mẫu BC tiền theo CHV Mẫu 07'!$E$16</f>
        <v>1773727</v>
      </c>
      <c r="F76" s="530">
        <f>'[9]Mẫu BC tiền theo CHV Mẫu 07'!$F$16</f>
        <v>0</v>
      </c>
      <c r="G76" s="537">
        <v>0</v>
      </c>
      <c r="H76" s="463">
        <f t="shared" si="4"/>
        <v>12980834</v>
      </c>
      <c r="I76" s="463">
        <f t="shared" si="5"/>
        <v>8719831</v>
      </c>
      <c r="J76" s="530">
        <f>'[9]Mẫu BC tiền theo CHV Mẫu 07'!$J$16</f>
        <v>39941</v>
      </c>
      <c r="K76" s="530">
        <f>'[9]Mẫu BC tiền theo CHV Mẫu 07'!$K$16</f>
        <v>4796</v>
      </c>
      <c r="L76" s="530">
        <f>'[9]Mẫu BC tiền theo CHV Mẫu 07'!$L$16</f>
        <v>0</v>
      </c>
      <c r="M76" s="513">
        <f t="shared" si="6"/>
        <v>8675094</v>
      </c>
      <c r="N76" s="530">
        <f>'[9]Mẫu BC tiền theo CHV Mẫu 07'!$N$16</f>
        <v>0</v>
      </c>
      <c r="O76" s="530">
        <f>'[9]Mẫu BC tiền theo CHV Mẫu 07'!$O$16</f>
        <v>0</v>
      </c>
      <c r="P76" s="530">
        <f>'[9]Mẫu BC tiền theo CHV Mẫu 07'!$P$16</f>
        <v>0</v>
      </c>
      <c r="Q76" s="530">
        <f>'[9]Mẫu BC tiền theo CHV Mẫu 07'!$Q$16</f>
        <v>0</v>
      </c>
      <c r="R76" s="530">
        <f>'[9]Mẫu BC tiền theo CHV Mẫu 07'!$R$16</f>
        <v>4261003</v>
      </c>
      <c r="S76" s="463">
        <f t="shared" si="7"/>
        <v>12936097</v>
      </c>
      <c r="T76" s="511">
        <f t="shared" si="17"/>
        <v>0.005130489340905805</v>
      </c>
      <c r="U76" s="383"/>
    </row>
    <row r="77" spans="1:21" s="385" customFormat="1" ht="30" customHeight="1">
      <c r="A77" s="428" t="s">
        <v>518</v>
      </c>
      <c r="B77" s="447" t="s">
        <v>519</v>
      </c>
      <c r="C77" s="463">
        <f t="shared" si="3"/>
        <v>12910972</v>
      </c>
      <c r="D77" s="536">
        <v>12709786</v>
      </c>
      <c r="E77" s="530">
        <f>'[9]Mẫu BC tiền theo CHV Mẫu 07'!$E$17</f>
        <v>201186</v>
      </c>
      <c r="F77" s="530">
        <f>'[9]Mẫu BC tiền theo CHV Mẫu 07'!$F$17</f>
        <v>0</v>
      </c>
      <c r="G77" s="537">
        <v>0</v>
      </c>
      <c r="H77" s="463">
        <f t="shared" si="4"/>
        <v>12910972</v>
      </c>
      <c r="I77" s="463">
        <f t="shared" si="5"/>
        <v>6303396</v>
      </c>
      <c r="J77" s="530">
        <f>'[9]Mẫu BC tiền theo CHV Mẫu 07'!$J$17</f>
        <v>38164</v>
      </c>
      <c r="K77" s="530">
        <f>'[9]Mẫu BC tiền theo CHV Mẫu 07'!$K$17</f>
        <v>0</v>
      </c>
      <c r="L77" s="530">
        <f>'[9]Mẫu BC tiền theo CHV Mẫu 07'!$L$17</f>
        <v>0</v>
      </c>
      <c r="M77" s="513">
        <f t="shared" si="6"/>
        <v>6264232</v>
      </c>
      <c r="N77" s="530">
        <f>'[9]Mẫu BC tiền theo CHV Mẫu 07'!$N$17</f>
        <v>1000</v>
      </c>
      <c r="O77" s="530">
        <f>'[9]Mẫu BC tiền theo CHV Mẫu 07'!$O$17</f>
        <v>0</v>
      </c>
      <c r="P77" s="530">
        <f>'[9]Mẫu BC tiền theo CHV Mẫu 07'!$P$17</f>
        <v>0</v>
      </c>
      <c r="Q77" s="530">
        <f>'[9]Mẫu BC tiền theo CHV Mẫu 07'!$Q$17</f>
        <v>0</v>
      </c>
      <c r="R77" s="530">
        <f>'[9]Mẫu BC tiền theo CHV Mẫu 07'!$R$17</f>
        <v>6607576</v>
      </c>
      <c r="S77" s="463">
        <f t="shared" si="7"/>
        <v>12872808</v>
      </c>
      <c r="T77" s="511">
        <f t="shared" si="17"/>
        <v>0.006054514106364252</v>
      </c>
      <c r="U77" s="383"/>
    </row>
    <row r="78" spans="1:21" s="385" customFormat="1" ht="30" customHeight="1">
      <c r="A78" s="428" t="s">
        <v>520</v>
      </c>
      <c r="B78" s="447" t="s">
        <v>521</v>
      </c>
      <c r="C78" s="463">
        <f t="shared" si="3"/>
        <v>46295508</v>
      </c>
      <c r="D78" s="536">
        <v>45466061</v>
      </c>
      <c r="E78" s="530">
        <f>'[9]Mẫu BC tiền theo CHV Mẫu 07'!$E$18</f>
        <v>829447</v>
      </c>
      <c r="F78" s="530">
        <f>'[9]Mẫu BC tiền theo CHV Mẫu 07'!$F$18</f>
        <v>0</v>
      </c>
      <c r="G78" s="537">
        <v>0</v>
      </c>
      <c r="H78" s="463">
        <f t="shared" si="4"/>
        <v>46295508</v>
      </c>
      <c r="I78" s="463">
        <f t="shared" si="5"/>
        <v>18910181</v>
      </c>
      <c r="J78" s="530">
        <f>'[9]Mẫu BC tiền theo CHV Mẫu 07'!$J$18</f>
        <v>177013</v>
      </c>
      <c r="K78" s="530">
        <f>'[9]Mẫu BC tiền theo CHV Mẫu 07'!$K$18</f>
        <v>12500</v>
      </c>
      <c r="L78" s="530">
        <f>'[9]Mẫu BC tiền theo CHV Mẫu 07'!$L$18</f>
        <v>12549</v>
      </c>
      <c r="M78" s="513">
        <f t="shared" si="6"/>
        <v>16659352</v>
      </c>
      <c r="N78" s="530">
        <f>'[9]Mẫu BC tiền theo CHV Mẫu 07'!$N$18</f>
        <v>745437</v>
      </c>
      <c r="O78" s="530">
        <f>'[9]Mẫu BC tiền theo CHV Mẫu 07'!$O$18</f>
        <v>1303330</v>
      </c>
      <c r="P78" s="530">
        <f>'[9]Mẫu BC tiền theo CHV Mẫu 07'!$P$18</f>
        <v>0</v>
      </c>
      <c r="Q78" s="530">
        <f>'[9]Mẫu BC tiền theo CHV Mẫu 07'!$Q$18</f>
        <v>0</v>
      </c>
      <c r="R78" s="530">
        <f>'[9]Mẫu BC tiền theo CHV Mẫu 07'!$R$18</f>
        <v>27385327</v>
      </c>
      <c r="S78" s="463">
        <f t="shared" si="7"/>
        <v>46093446</v>
      </c>
      <c r="T78" s="511">
        <f t="shared" si="17"/>
        <v>0.01068535515339594</v>
      </c>
      <c r="U78" s="383"/>
    </row>
    <row r="79" spans="1:21" s="385" customFormat="1" ht="30" customHeight="1">
      <c r="A79" s="428" t="s">
        <v>558</v>
      </c>
      <c r="B79" s="447"/>
      <c r="C79" s="463">
        <f t="shared" si="3"/>
        <v>0</v>
      </c>
      <c r="D79" s="536"/>
      <c r="E79" s="530">
        <f>'[9]Mẫu BC tiền theo CHV Mẫu 07'!$E$19</f>
        <v>0</v>
      </c>
      <c r="F79" s="530">
        <f>'[9]Mẫu BC tiền theo CHV Mẫu 07'!$F$19</f>
        <v>0</v>
      </c>
      <c r="G79" s="537">
        <v>0</v>
      </c>
      <c r="H79" s="463">
        <f t="shared" si="4"/>
        <v>0</v>
      </c>
      <c r="I79" s="463">
        <f t="shared" si="5"/>
        <v>0</v>
      </c>
      <c r="J79" s="530">
        <f>'[9]Mẫu BC tiền theo CHV Mẫu 07'!$J$19</f>
        <v>0</v>
      </c>
      <c r="K79" s="530">
        <f>'[9]Mẫu BC tiền theo CHV Mẫu 07'!$K$19</f>
        <v>0</v>
      </c>
      <c r="L79" s="530">
        <f>'[9]Mẫu BC tiền theo CHV Mẫu 07'!$L$19</f>
        <v>0</v>
      </c>
      <c r="M79" s="513">
        <f t="shared" si="6"/>
        <v>0</v>
      </c>
      <c r="N79" s="530">
        <v>0</v>
      </c>
      <c r="O79" s="530"/>
      <c r="P79" s="530">
        <v>0</v>
      </c>
      <c r="Q79" s="530">
        <v>0</v>
      </c>
      <c r="R79" s="530">
        <f>'[9]Mẫu BC tiền theo CHV Mẫu 07'!$R$19</f>
        <v>0</v>
      </c>
      <c r="S79" s="463">
        <f t="shared" si="7"/>
        <v>0</v>
      </c>
      <c r="T79" s="511"/>
      <c r="U79" s="383"/>
    </row>
    <row r="80" spans="1:21" s="385" customFormat="1" ht="30" customHeight="1">
      <c r="A80" s="430" t="s">
        <v>63</v>
      </c>
      <c r="B80" s="444" t="s">
        <v>522</v>
      </c>
      <c r="C80" s="463">
        <f t="shared" si="3"/>
        <v>82482972</v>
      </c>
      <c r="D80" s="463">
        <f>D81+D82+D83+D84</f>
        <v>76418697</v>
      </c>
      <c r="E80" s="463">
        <f aca="true" t="shared" si="20" ref="E80:R80">E81+E82+E83+E84</f>
        <v>6064275</v>
      </c>
      <c r="F80" s="463">
        <f t="shared" si="20"/>
        <v>13465</v>
      </c>
      <c r="G80" s="463">
        <f t="shared" si="20"/>
        <v>0</v>
      </c>
      <c r="H80" s="463">
        <f t="shared" si="20"/>
        <v>82469507</v>
      </c>
      <c r="I80" s="463">
        <f t="shared" si="20"/>
        <v>43911372</v>
      </c>
      <c r="J80" s="463">
        <f t="shared" si="20"/>
        <v>829443</v>
      </c>
      <c r="K80" s="463">
        <f t="shared" si="20"/>
        <v>239030</v>
      </c>
      <c r="L80" s="463">
        <f t="shared" si="20"/>
        <v>0</v>
      </c>
      <c r="M80" s="463">
        <f t="shared" si="20"/>
        <v>42551934</v>
      </c>
      <c r="N80" s="463">
        <f t="shared" si="20"/>
        <v>223014</v>
      </c>
      <c r="O80" s="463">
        <f t="shared" si="20"/>
        <v>67951</v>
      </c>
      <c r="P80" s="463">
        <f t="shared" si="20"/>
        <v>0</v>
      </c>
      <c r="Q80" s="463">
        <f t="shared" si="20"/>
        <v>0</v>
      </c>
      <c r="R80" s="463">
        <f t="shared" si="20"/>
        <v>38558135</v>
      </c>
      <c r="S80" s="463">
        <f t="shared" si="7"/>
        <v>81401034</v>
      </c>
      <c r="T80" s="511">
        <f t="shared" si="17"/>
        <v>0.024332489542799984</v>
      </c>
      <c r="U80" s="383"/>
    </row>
    <row r="81" spans="1:21" s="385" customFormat="1" ht="30" customHeight="1">
      <c r="A81" s="428" t="s">
        <v>523</v>
      </c>
      <c r="B81" s="448" t="s">
        <v>524</v>
      </c>
      <c r="C81" s="463">
        <f t="shared" si="3"/>
        <v>133442</v>
      </c>
      <c r="D81" s="538">
        <v>0</v>
      </c>
      <c r="E81" s="538">
        <f>'[14]Mẫu BC tiền theo CHV Mẫu 07'!$E$14+101925</f>
        <v>133442</v>
      </c>
      <c r="F81" s="538">
        <f>'[14]Mẫu BC tiền theo CHV Mẫu 07'!$F$14+13265</f>
        <v>13465</v>
      </c>
      <c r="G81" s="538">
        <v>0</v>
      </c>
      <c r="H81" s="463">
        <f t="shared" si="4"/>
        <v>119977</v>
      </c>
      <c r="I81" s="463">
        <f t="shared" si="5"/>
        <v>119977</v>
      </c>
      <c r="J81" s="538">
        <f>'[14]Mẫu BC tiền theo CHV Mẫu 07'!$J$14+91419</f>
        <v>119977</v>
      </c>
      <c r="K81" s="538">
        <f>'[14]Mẫu BC tiền theo CHV Mẫu 07'!$K$14</f>
        <v>0</v>
      </c>
      <c r="L81" s="538">
        <f>'[14]Mẫu BC tiền theo CHV Mẫu 07'!$L$14</f>
        <v>0</v>
      </c>
      <c r="M81" s="513">
        <f t="shared" si="6"/>
        <v>0</v>
      </c>
      <c r="N81" s="538">
        <f>'[14]Mẫu BC tiền theo CHV Mẫu 07'!$N$14</f>
        <v>0</v>
      </c>
      <c r="O81" s="538">
        <f>'[14]Mẫu BC tiền theo CHV Mẫu 07'!$O$14</f>
        <v>0</v>
      </c>
      <c r="P81" s="538">
        <f>'[14]Mẫu BC tiền theo CHV Mẫu 07'!$P$14</f>
        <v>0</v>
      </c>
      <c r="Q81" s="532">
        <f>'[14]Mẫu BC tiền theo CHV Mẫu 07'!$Q$14</f>
        <v>0</v>
      </c>
      <c r="R81" s="533">
        <f>'[14]Mẫu BC tiền theo CHV Mẫu 07'!$R$14</f>
        <v>0</v>
      </c>
      <c r="S81" s="463">
        <f t="shared" si="7"/>
        <v>0</v>
      </c>
      <c r="T81" s="511">
        <f t="shared" si="17"/>
        <v>1</v>
      </c>
      <c r="U81" s="383"/>
    </row>
    <row r="82" spans="1:21" s="385" customFormat="1" ht="30" customHeight="1">
      <c r="A82" s="428" t="s">
        <v>525</v>
      </c>
      <c r="B82" s="448" t="s">
        <v>526</v>
      </c>
      <c r="C82" s="463">
        <f t="shared" si="3"/>
        <v>8679518</v>
      </c>
      <c r="D82" s="538">
        <v>7183606</v>
      </c>
      <c r="E82" s="538">
        <f>'[14]Mẫu BC tiền theo CHV Mẫu 07'!$E$15+713835</f>
        <v>1495912</v>
      </c>
      <c r="F82" s="538">
        <f>'[14]Mẫu BC tiền theo CHV Mẫu 07'!$F$15</f>
        <v>0</v>
      </c>
      <c r="G82" s="538">
        <v>0</v>
      </c>
      <c r="H82" s="463">
        <f aca="true" t="shared" si="21" ref="H82:H95">C82-F82</f>
        <v>8679518</v>
      </c>
      <c r="I82" s="463">
        <f t="shared" si="5"/>
        <v>6521434</v>
      </c>
      <c r="J82" s="538">
        <f>'[14]Mẫu BC tiền theo CHV Mẫu 07'!$J$15+7313</f>
        <v>61318</v>
      </c>
      <c r="K82" s="538">
        <f>'[14]Mẫu BC tiền theo CHV Mẫu 07'!$K$15</f>
        <v>234030</v>
      </c>
      <c r="L82" s="538">
        <f>'[14]Mẫu BC tiền theo CHV Mẫu 07'!$L$15</f>
        <v>0</v>
      </c>
      <c r="M82" s="513">
        <f t="shared" si="6"/>
        <v>6158135</v>
      </c>
      <c r="N82" s="538">
        <f>'[14]Mẫu BC tiền theo CHV Mẫu 07'!$N$15</f>
        <v>0</v>
      </c>
      <c r="O82" s="538">
        <f>'[14]Mẫu BC tiền theo CHV Mẫu 07'!$O$15</f>
        <v>67951</v>
      </c>
      <c r="P82" s="538">
        <f>'[14]Mẫu BC tiền theo CHV Mẫu 07'!$P$15</f>
        <v>0</v>
      </c>
      <c r="Q82" s="532">
        <f>'[14]Mẫu BC tiền theo CHV Mẫu 07'!$Q$15</f>
        <v>0</v>
      </c>
      <c r="R82" s="533">
        <f>'[14]Mẫu BC tiền theo CHV Mẫu 07'!$R$15</f>
        <v>2158084</v>
      </c>
      <c r="S82" s="463">
        <f t="shared" si="7"/>
        <v>8384170</v>
      </c>
      <c r="T82" s="511">
        <f t="shared" si="17"/>
        <v>0.045288812245895614</v>
      </c>
      <c r="U82" s="383"/>
    </row>
    <row r="83" spans="1:21" s="385" customFormat="1" ht="30" customHeight="1">
      <c r="A83" s="428" t="s">
        <v>114</v>
      </c>
      <c r="B83" s="448" t="s">
        <v>568</v>
      </c>
      <c r="C83" s="463">
        <f t="shared" si="3"/>
        <v>20049078</v>
      </c>
      <c r="D83" s="538">
        <v>18090480</v>
      </c>
      <c r="E83" s="538">
        <f>'[14]Mẫu BC tiền theo CHV Mẫu 07'!$E$16+191445</f>
        <v>1958598</v>
      </c>
      <c r="F83" s="538">
        <f>'[14]Mẫu BC tiền theo CHV Mẫu 07'!$F$16</f>
        <v>0</v>
      </c>
      <c r="G83" s="538"/>
      <c r="H83" s="463">
        <f t="shared" si="21"/>
        <v>20049078</v>
      </c>
      <c r="I83" s="463">
        <f t="shared" si="5"/>
        <v>12251978</v>
      </c>
      <c r="J83" s="538">
        <f>'[14]Mẫu BC tiền theo CHV Mẫu 07'!$J$16+82640</f>
        <v>406504</v>
      </c>
      <c r="K83" s="538">
        <f>'[14]Mẫu BC tiền theo CHV Mẫu 07'!$K$16</f>
        <v>0</v>
      </c>
      <c r="L83" s="538">
        <f>'[14]Mẫu BC tiền theo CHV Mẫu 07'!$L$16</f>
        <v>0</v>
      </c>
      <c r="M83" s="513">
        <f t="shared" si="6"/>
        <v>11845474</v>
      </c>
      <c r="N83" s="538">
        <f>'[14]Mẫu BC tiền theo CHV Mẫu 07'!$N$16</f>
        <v>0</v>
      </c>
      <c r="O83" s="538">
        <f>'[14]Mẫu BC tiền theo CHV Mẫu 07'!$O$16</f>
        <v>0</v>
      </c>
      <c r="P83" s="538">
        <f>'[14]Mẫu BC tiền theo CHV Mẫu 07'!$P$16</f>
        <v>0</v>
      </c>
      <c r="Q83" s="532">
        <f>'[14]Mẫu BC tiền theo CHV Mẫu 07'!$Q$16</f>
        <v>0</v>
      </c>
      <c r="R83" s="533">
        <f>'[14]Mẫu BC tiền theo CHV Mẫu 07'!$R$16</f>
        <v>7797100</v>
      </c>
      <c r="S83" s="463">
        <f t="shared" si="7"/>
        <v>19642574</v>
      </c>
      <c r="T83" s="511">
        <f t="shared" si="17"/>
        <v>0.03317864266488236</v>
      </c>
      <c r="U83" s="383"/>
    </row>
    <row r="84" spans="1:21" s="385" customFormat="1" ht="30" customHeight="1">
      <c r="A84" s="428" t="s">
        <v>562</v>
      </c>
      <c r="B84" s="448" t="s">
        <v>528</v>
      </c>
      <c r="C84" s="463">
        <f t="shared" si="3"/>
        <v>53620934</v>
      </c>
      <c r="D84" s="538">
        <v>51144611</v>
      </c>
      <c r="E84" s="538">
        <f>'[14]Mẫu BC tiền theo CHV Mẫu 07'!$E$17+1430992</f>
        <v>2476323</v>
      </c>
      <c r="F84" s="538">
        <f>'[14]Mẫu BC tiền theo CHV Mẫu 07'!$F$17</f>
        <v>0</v>
      </c>
      <c r="G84" s="538">
        <v>0</v>
      </c>
      <c r="H84" s="463">
        <f t="shared" si="21"/>
        <v>53620934</v>
      </c>
      <c r="I84" s="463">
        <f t="shared" si="5"/>
        <v>25017983</v>
      </c>
      <c r="J84" s="538">
        <f>'[14]Mẫu BC tiền theo CHV Mẫu 07'!$J$17+103055</f>
        <v>241644</v>
      </c>
      <c r="K84" s="538">
        <f>'[14]Mẫu BC tiền theo CHV Mẫu 07'!$K$17</f>
        <v>5000</v>
      </c>
      <c r="L84" s="538">
        <f>'[14]Mẫu BC tiền theo CHV Mẫu 07'!$L$17</f>
        <v>0</v>
      </c>
      <c r="M84" s="513">
        <f t="shared" si="6"/>
        <v>24548325</v>
      </c>
      <c r="N84" s="538">
        <f>'[14]Mẫu BC tiền theo CHV Mẫu 07'!$N$17</f>
        <v>223014</v>
      </c>
      <c r="O84" s="538">
        <f>'[14]Mẫu BC tiền theo CHV Mẫu 07'!$O$17</f>
        <v>0</v>
      </c>
      <c r="P84" s="538">
        <f>'[14]Mẫu BC tiền theo CHV Mẫu 07'!$P$17</f>
        <v>0</v>
      </c>
      <c r="Q84" s="532">
        <f>'[14]Mẫu BC tiền theo CHV Mẫu 07'!$Q$17</f>
        <v>0</v>
      </c>
      <c r="R84" s="533">
        <f>'[14]Mẫu BC tiền theo CHV Mẫu 07'!$R$17</f>
        <v>28602951</v>
      </c>
      <c r="S84" s="463">
        <f t="shared" si="7"/>
        <v>53374290</v>
      </c>
      <c r="T84" s="511">
        <f t="shared" si="17"/>
        <v>0.00985866846260148</v>
      </c>
      <c r="U84" s="383"/>
    </row>
    <row r="85" spans="1:21" s="385" customFormat="1" ht="30" customHeight="1">
      <c r="A85" s="430" t="s">
        <v>83</v>
      </c>
      <c r="B85" s="444" t="s">
        <v>529</v>
      </c>
      <c r="C85" s="463">
        <f t="shared" si="3"/>
        <v>31609761</v>
      </c>
      <c r="D85" s="463">
        <f>D86+D87+D88</f>
        <v>30492772</v>
      </c>
      <c r="E85" s="463">
        <f aca="true" t="shared" si="22" ref="E85:S85">E86+E87+E88</f>
        <v>1116989</v>
      </c>
      <c r="F85" s="463">
        <f t="shared" si="22"/>
        <v>0</v>
      </c>
      <c r="G85" s="463">
        <f t="shared" si="22"/>
        <v>0</v>
      </c>
      <c r="H85" s="463">
        <f t="shared" si="22"/>
        <v>31609761</v>
      </c>
      <c r="I85" s="463">
        <f t="shared" si="22"/>
        <v>7976673</v>
      </c>
      <c r="J85" s="463">
        <f t="shared" si="22"/>
        <v>30057</v>
      </c>
      <c r="K85" s="463">
        <f t="shared" si="22"/>
        <v>0</v>
      </c>
      <c r="L85" s="463">
        <f t="shared" si="22"/>
        <v>0</v>
      </c>
      <c r="M85" s="463">
        <f t="shared" si="22"/>
        <v>7933466</v>
      </c>
      <c r="N85" s="463">
        <f t="shared" si="22"/>
        <v>0</v>
      </c>
      <c r="O85" s="463">
        <f t="shared" si="22"/>
        <v>0</v>
      </c>
      <c r="P85" s="463">
        <f t="shared" si="22"/>
        <v>0</v>
      </c>
      <c r="Q85" s="463">
        <f t="shared" si="22"/>
        <v>13150</v>
      </c>
      <c r="R85" s="463">
        <f t="shared" si="22"/>
        <v>23633088</v>
      </c>
      <c r="S85" s="463">
        <f t="shared" si="22"/>
        <v>31579704</v>
      </c>
      <c r="T85" s="511">
        <f t="shared" si="17"/>
        <v>0.0037681123445827604</v>
      </c>
      <c r="U85" s="383"/>
    </row>
    <row r="86" spans="1:21" s="385" customFormat="1" ht="30" customHeight="1">
      <c r="A86" s="428" t="s">
        <v>530</v>
      </c>
      <c r="B86" s="438" t="s">
        <v>532</v>
      </c>
      <c r="C86" s="463">
        <f t="shared" si="3"/>
        <v>30540246</v>
      </c>
      <c r="D86" s="539">
        <v>30492772</v>
      </c>
      <c r="E86" s="539">
        <f>'[16]Mẫu BC tiền theo CHV Mẫu 07'!$E$15</f>
        <v>47474</v>
      </c>
      <c r="F86" s="539">
        <f>'[16]Mẫu BC tiền theo CHV Mẫu 07'!$F$15</f>
        <v>0</v>
      </c>
      <c r="G86" s="539">
        <v>0</v>
      </c>
      <c r="H86" s="463">
        <f t="shared" si="21"/>
        <v>30540246</v>
      </c>
      <c r="I86" s="463">
        <f t="shared" si="5"/>
        <v>30494846</v>
      </c>
      <c r="J86" s="539">
        <f>'[16]Mẫu BC tiền theo CHV Mẫu 07'!$J$15</f>
        <v>3500</v>
      </c>
      <c r="K86" s="539">
        <f>'[16]Mẫu BC tiền theo CHV Mẫu 07'!$K$15</f>
        <v>0</v>
      </c>
      <c r="L86" s="539">
        <f>'[16]Mẫu BC tiền theo CHV Mẫu 07'!$L$15</f>
        <v>0</v>
      </c>
      <c r="M86" s="513">
        <f t="shared" si="6"/>
        <v>30478196</v>
      </c>
      <c r="N86" s="539">
        <f>'[16]Mẫu BC tiền theo CHV Mẫu 07'!$N$15</f>
        <v>0</v>
      </c>
      <c r="O86" s="539">
        <f>'[16]Mẫu BC tiền theo CHV Mẫu 07'!$O$15</f>
        <v>0</v>
      </c>
      <c r="P86" s="539">
        <f>'[16]Mẫu BC tiền theo CHV Mẫu 07'!$P$15</f>
        <v>0</v>
      </c>
      <c r="Q86" s="540">
        <f>'[16]Mẫu BC tiền theo CHV Mẫu 07'!$Q$15</f>
        <v>13150</v>
      </c>
      <c r="R86" s="541">
        <f>'[16]Mẫu BC tiền theo CHV Mẫu 07'!$R$15</f>
        <v>45400</v>
      </c>
      <c r="S86" s="463">
        <f t="shared" si="7"/>
        <v>30536746</v>
      </c>
      <c r="T86" s="511">
        <f t="shared" si="17"/>
        <v>0.00011477349319947377</v>
      </c>
      <c r="U86" s="383"/>
    </row>
    <row r="87" spans="1:21" s="385" customFormat="1" ht="30" customHeight="1">
      <c r="A87" s="428" t="s">
        <v>531</v>
      </c>
      <c r="B87" s="438"/>
      <c r="C87" s="463">
        <f t="shared" si="3"/>
        <v>1054215</v>
      </c>
      <c r="D87" s="539"/>
      <c r="E87" s="539">
        <f>'[16]Mẫu BC tiền theo CHV Mẫu 07'!$E$16</f>
        <v>1054215</v>
      </c>
      <c r="F87" s="539">
        <f>'[16]Mẫu BC tiền theo CHV Mẫu 07'!$F$16</f>
        <v>0</v>
      </c>
      <c r="G87" s="539">
        <v>0</v>
      </c>
      <c r="H87" s="463">
        <f t="shared" si="21"/>
        <v>1054215</v>
      </c>
      <c r="I87" s="463">
        <f t="shared" si="5"/>
        <v>-1426018</v>
      </c>
      <c r="J87" s="539">
        <f>'[16]Mẫu BC tiền theo CHV Mẫu 07'!$J$16</f>
        <v>21257</v>
      </c>
      <c r="K87" s="539">
        <f>'[16]Mẫu BC tiền theo CHV Mẫu 07'!$K$16</f>
        <v>0</v>
      </c>
      <c r="L87" s="539">
        <f>'[16]Mẫu BC tiền theo CHV Mẫu 07'!$L$16</f>
        <v>0</v>
      </c>
      <c r="M87" s="513">
        <f t="shared" si="6"/>
        <v>-1447275</v>
      </c>
      <c r="N87" s="539">
        <f>'[16]Mẫu BC tiền theo CHV Mẫu 07'!$N$16</f>
        <v>0</v>
      </c>
      <c r="O87" s="539">
        <f>'[16]Mẫu BC tiền theo CHV Mẫu 07'!$O$16</f>
        <v>0</v>
      </c>
      <c r="P87" s="539">
        <f>'[16]Mẫu BC tiền theo CHV Mẫu 07'!$P$16</f>
        <v>0</v>
      </c>
      <c r="Q87" s="540">
        <f>'[16]Mẫu BC tiền theo CHV Mẫu 07'!$Q$16</f>
        <v>0</v>
      </c>
      <c r="R87" s="541">
        <f>'[16]Mẫu BC tiền theo CHV Mẫu 07'!$R$16</f>
        <v>2480233</v>
      </c>
      <c r="S87" s="463">
        <f t="shared" si="7"/>
        <v>1032958</v>
      </c>
      <c r="T87" s="511"/>
      <c r="U87" s="383"/>
    </row>
    <row r="88" spans="1:21" s="385" customFormat="1" ht="30" customHeight="1">
      <c r="A88" s="428" t="s">
        <v>533</v>
      </c>
      <c r="B88" s="439"/>
      <c r="C88" s="463">
        <f t="shared" si="3"/>
        <v>15300</v>
      </c>
      <c r="D88" s="541"/>
      <c r="E88" s="541">
        <f>'[16]Mẫu BC tiền theo CHV Mẫu 07'!$E$17</f>
        <v>15300</v>
      </c>
      <c r="F88" s="541" t="str">
        <f>'[16]Mẫu BC tiền theo CHV Mẫu 07'!$F$17</f>
        <v>0</v>
      </c>
      <c r="G88" s="541"/>
      <c r="H88" s="463">
        <f t="shared" si="21"/>
        <v>15300</v>
      </c>
      <c r="I88" s="463">
        <f t="shared" si="5"/>
        <v>-21092155</v>
      </c>
      <c r="J88" s="541">
        <f>'[16]Mẫu BC tiền theo CHV Mẫu 07'!$J$17</f>
        <v>5300</v>
      </c>
      <c r="K88" s="541" t="str">
        <f>'[16]Mẫu BC tiền theo CHV Mẫu 07'!$K$17</f>
        <v>0</v>
      </c>
      <c r="L88" s="541" t="str">
        <f>'[16]Mẫu BC tiền theo CHV Mẫu 07'!$L$17</f>
        <v>0</v>
      </c>
      <c r="M88" s="513">
        <f t="shared" si="6"/>
        <v>-21097455</v>
      </c>
      <c r="N88" s="541"/>
      <c r="O88" s="541" t="str">
        <f>'[16]Mẫu BC tiền theo CHV Mẫu 07'!$O$17</f>
        <v>0</v>
      </c>
      <c r="P88" s="541" t="str">
        <f>'[16]Mẫu BC tiền theo CHV Mẫu 07'!$P$17</f>
        <v>0</v>
      </c>
      <c r="Q88" s="541" t="str">
        <f>'[16]Mẫu BC tiền theo CHV Mẫu 07'!$Q$17</f>
        <v>0</v>
      </c>
      <c r="R88" s="541">
        <f>'[16]Mẫu BC tiền theo CHV Mẫu 07'!$R$17</f>
        <v>21107455</v>
      </c>
      <c r="S88" s="463">
        <f t="shared" si="7"/>
        <v>10000</v>
      </c>
      <c r="T88" s="511"/>
      <c r="U88" s="383"/>
    </row>
    <row r="89" spans="1:21" s="385" customFormat="1" ht="30" customHeight="1">
      <c r="A89" s="430" t="s">
        <v>84</v>
      </c>
      <c r="B89" s="444" t="s">
        <v>534</v>
      </c>
      <c r="C89" s="463">
        <f t="shared" si="3"/>
        <v>32484669</v>
      </c>
      <c r="D89" s="463">
        <f>D90+D91+D92</f>
        <v>29740385</v>
      </c>
      <c r="E89" s="463">
        <f aca="true" t="shared" si="23" ref="E89:S89">E90+E91+E92</f>
        <v>2744284</v>
      </c>
      <c r="F89" s="463">
        <f t="shared" si="23"/>
        <v>0</v>
      </c>
      <c r="G89" s="463">
        <f t="shared" si="23"/>
        <v>0</v>
      </c>
      <c r="H89" s="463">
        <f t="shared" si="23"/>
        <v>32484669</v>
      </c>
      <c r="I89" s="463">
        <f t="shared" si="23"/>
        <v>12015791</v>
      </c>
      <c r="J89" s="463">
        <f t="shared" si="23"/>
        <v>98198</v>
      </c>
      <c r="K89" s="463">
        <f t="shared" si="23"/>
        <v>26000</v>
      </c>
      <c r="L89" s="463">
        <f t="shared" si="23"/>
        <v>0</v>
      </c>
      <c r="M89" s="463">
        <f t="shared" si="23"/>
        <v>11289431</v>
      </c>
      <c r="N89" s="463">
        <f t="shared" si="23"/>
        <v>602162</v>
      </c>
      <c r="O89" s="463">
        <f t="shared" si="23"/>
        <v>0</v>
      </c>
      <c r="P89" s="463">
        <f t="shared" si="23"/>
        <v>0</v>
      </c>
      <c r="Q89" s="463">
        <f t="shared" si="23"/>
        <v>0</v>
      </c>
      <c r="R89" s="463">
        <f t="shared" si="23"/>
        <v>20468878</v>
      </c>
      <c r="S89" s="463">
        <f t="shared" si="23"/>
        <v>32360471</v>
      </c>
      <c r="T89" s="511">
        <f t="shared" si="17"/>
        <v>0.01033623171375068</v>
      </c>
      <c r="U89" s="383"/>
    </row>
    <row r="90" spans="1:21" s="385" customFormat="1" ht="30" customHeight="1">
      <c r="A90" s="428" t="s">
        <v>535</v>
      </c>
      <c r="B90" s="432" t="s">
        <v>548</v>
      </c>
      <c r="C90" s="463">
        <f t="shared" si="3"/>
        <v>2828210</v>
      </c>
      <c r="D90" s="517">
        <v>1778043</v>
      </c>
      <c r="E90" s="517">
        <f>'[12]07'!$E$13</f>
        <v>1050167</v>
      </c>
      <c r="F90" s="517">
        <f>'[12]07'!$F$13</f>
        <v>0</v>
      </c>
      <c r="G90" s="517"/>
      <c r="H90" s="463">
        <f t="shared" si="21"/>
        <v>2828210</v>
      </c>
      <c r="I90" s="463">
        <f t="shared" si="5"/>
        <v>2106021</v>
      </c>
      <c r="J90" s="517">
        <f>'[12]07'!$J$13</f>
        <v>56276</v>
      </c>
      <c r="K90" s="517">
        <f>'[12]07'!$K$13</f>
        <v>2000</v>
      </c>
      <c r="L90" s="517">
        <f>'[12]07'!$L$13</f>
        <v>0</v>
      </c>
      <c r="M90" s="513">
        <f t="shared" si="6"/>
        <v>2047745</v>
      </c>
      <c r="N90" s="517">
        <f>'[12]07'!$N$13</f>
        <v>0</v>
      </c>
      <c r="O90" s="517">
        <f>'[12]07'!$O$13</f>
        <v>0</v>
      </c>
      <c r="P90" s="517">
        <f>'[12]07'!$P$12</f>
        <v>0</v>
      </c>
      <c r="Q90" s="517">
        <f>'[12]07'!$Q$13</f>
        <v>0</v>
      </c>
      <c r="R90" s="517">
        <f>'[12]07'!$R$13</f>
        <v>722189</v>
      </c>
      <c r="S90" s="463">
        <f t="shared" si="7"/>
        <v>2769934</v>
      </c>
      <c r="T90" s="511">
        <f t="shared" si="17"/>
        <v>0.02767113908170906</v>
      </c>
      <c r="U90" s="383"/>
    </row>
    <row r="91" spans="1:21" s="385" customFormat="1" ht="30" customHeight="1">
      <c r="A91" s="428" t="s">
        <v>537</v>
      </c>
      <c r="B91" s="432" t="s">
        <v>538</v>
      </c>
      <c r="C91" s="463">
        <f t="shared" si="3"/>
        <v>22149449</v>
      </c>
      <c r="D91" s="517">
        <v>20490233</v>
      </c>
      <c r="E91" s="517">
        <f>'[12]07'!$E$14</f>
        <v>1659216</v>
      </c>
      <c r="F91" s="517">
        <f>'[12]07'!$F$14</f>
        <v>0</v>
      </c>
      <c r="G91" s="517">
        <v>0</v>
      </c>
      <c r="H91" s="463">
        <f t="shared" si="21"/>
        <v>22149449</v>
      </c>
      <c r="I91" s="463">
        <f t="shared" si="5"/>
        <v>3083804</v>
      </c>
      <c r="J91" s="517">
        <f>'[12]07'!$J$14</f>
        <v>13622</v>
      </c>
      <c r="K91" s="517">
        <f>'[12]07'!$K$14</f>
        <v>24000</v>
      </c>
      <c r="L91" s="517">
        <f>'[12]07'!$L$14</f>
        <v>0</v>
      </c>
      <c r="M91" s="513">
        <f t="shared" si="6"/>
        <v>2444020</v>
      </c>
      <c r="N91" s="517">
        <f>'[12]07'!$N$14</f>
        <v>602162</v>
      </c>
      <c r="O91" s="517">
        <f>'[12]07'!$O$14</f>
        <v>0</v>
      </c>
      <c r="P91" s="517">
        <f>'[12]07'!$P$13</f>
        <v>0</v>
      </c>
      <c r="Q91" s="517">
        <f>'[12]07'!$Q$14</f>
        <v>0</v>
      </c>
      <c r="R91" s="518">
        <f>'[12]07'!$R$14</f>
        <v>19065645</v>
      </c>
      <c r="S91" s="463">
        <f t="shared" si="7"/>
        <v>22111827</v>
      </c>
      <c r="T91" s="511">
        <f t="shared" si="17"/>
        <v>0.012199867436451862</v>
      </c>
      <c r="U91" s="383"/>
    </row>
    <row r="92" spans="1:21" s="385" customFormat="1" ht="30" customHeight="1">
      <c r="A92" s="440" t="s">
        <v>539</v>
      </c>
      <c r="B92" s="432" t="s">
        <v>540</v>
      </c>
      <c r="C92" s="463">
        <f t="shared" si="3"/>
        <v>7507010</v>
      </c>
      <c r="D92" s="517">
        <v>7472109</v>
      </c>
      <c r="E92" s="517">
        <f>'[12]07'!$E$15+1</f>
        <v>34901</v>
      </c>
      <c r="F92" s="517">
        <f>'[12]07'!$F$15</f>
        <v>0</v>
      </c>
      <c r="G92" s="517">
        <v>0</v>
      </c>
      <c r="H92" s="463">
        <f t="shared" si="21"/>
        <v>7507010</v>
      </c>
      <c r="I92" s="463">
        <f t="shared" si="5"/>
        <v>6825966</v>
      </c>
      <c r="J92" s="517">
        <f>'[12]07'!$J$15</f>
        <v>28300</v>
      </c>
      <c r="K92" s="517">
        <f>'[12]07'!$K$15</f>
        <v>0</v>
      </c>
      <c r="L92" s="517">
        <f>'[12]07'!$L$15</f>
        <v>0</v>
      </c>
      <c r="M92" s="513">
        <f t="shared" si="6"/>
        <v>6797666</v>
      </c>
      <c r="N92" s="517">
        <f>'[12]07'!$N$15</f>
        <v>0</v>
      </c>
      <c r="O92" s="517">
        <f>'[12]07'!$O$15</f>
        <v>0</v>
      </c>
      <c r="P92" s="517">
        <f>'[12]07'!$P$15</f>
        <v>0</v>
      </c>
      <c r="Q92" s="517">
        <f>'[12]07'!$Q$15</f>
        <v>0</v>
      </c>
      <c r="R92" s="518">
        <f>'[12]07'!$R$15</f>
        <v>681044</v>
      </c>
      <c r="S92" s="463">
        <f t="shared" si="7"/>
        <v>7478710</v>
      </c>
      <c r="T92" s="511">
        <f t="shared" si="17"/>
        <v>0.004145933337493917</v>
      </c>
      <c r="U92" s="383"/>
    </row>
    <row r="93" spans="1:21" s="385" customFormat="1" ht="30" customHeight="1">
      <c r="A93" s="430" t="s">
        <v>85</v>
      </c>
      <c r="B93" s="431" t="s">
        <v>541</v>
      </c>
      <c r="C93" s="463">
        <f t="shared" si="3"/>
        <v>12738204</v>
      </c>
      <c r="D93" s="463">
        <f>D94+D95</f>
        <v>10215324</v>
      </c>
      <c r="E93" s="463">
        <f aca="true" t="shared" si="24" ref="E93:S93">E94+E95</f>
        <v>2522880</v>
      </c>
      <c r="F93" s="463">
        <f t="shared" si="24"/>
        <v>0</v>
      </c>
      <c r="G93" s="463">
        <f t="shared" si="24"/>
        <v>0</v>
      </c>
      <c r="H93" s="463">
        <f t="shared" si="24"/>
        <v>12738204</v>
      </c>
      <c r="I93" s="463">
        <f t="shared" si="24"/>
        <v>7387166</v>
      </c>
      <c r="J93" s="463">
        <f t="shared" si="24"/>
        <v>24173</v>
      </c>
      <c r="K93" s="463">
        <f t="shared" si="24"/>
        <v>0</v>
      </c>
      <c r="L93" s="463">
        <f t="shared" si="24"/>
        <v>0</v>
      </c>
      <c r="M93" s="463">
        <f t="shared" si="24"/>
        <v>7362993</v>
      </c>
      <c r="N93" s="463">
        <f t="shared" si="24"/>
        <v>0</v>
      </c>
      <c r="O93" s="463">
        <f t="shared" si="24"/>
        <v>0</v>
      </c>
      <c r="P93" s="463">
        <f t="shared" si="24"/>
        <v>0</v>
      </c>
      <c r="Q93" s="463">
        <f t="shared" si="24"/>
        <v>0</v>
      </c>
      <c r="R93" s="463">
        <f t="shared" si="24"/>
        <v>5351038</v>
      </c>
      <c r="S93" s="463">
        <f t="shared" si="24"/>
        <v>12714031</v>
      </c>
      <c r="T93" s="511">
        <f t="shared" si="17"/>
        <v>0.0032722968456374204</v>
      </c>
      <c r="U93" s="383"/>
    </row>
    <row r="94" spans="1:21" s="385" customFormat="1" ht="30" customHeight="1">
      <c r="A94" s="428" t="s">
        <v>542</v>
      </c>
      <c r="B94" s="432" t="s">
        <v>543</v>
      </c>
      <c r="C94" s="463">
        <f t="shared" si="3"/>
        <v>6543960</v>
      </c>
      <c r="D94" s="512">
        <v>4948582</v>
      </c>
      <c r="E94" s="512">
        <f>'[11] tiền theo CHV Mẫu 07'!$E$13</f>
        <v>1595378</v>
      </c>
      <c r="F94" s="512">
        <f>'[11] tiền theo CHV Mẫu 07'!$F$13</f>
        <v>0</v>
      </c>
      <c r="G94" s="512">
        <v>0</v>
      </c>
      <c r="H94" s="463">
        <f t="shared" si="21"/>
        <v>6543960</v>
      </c>
      <c r="I94" s="463">
        <f t="shared" si="5"/>
        <v>2560148</v>
      </c>
      <c r="J94" s="512">
        <f>'[11] tiền theo CHV Mẫu 07'!$J$13</f>
        <v>8174</v>
      </c>
      <c r="K94" s="512">
        <f>'[11] tiền theo CHV Mẫu 07'!$K$13</f>
        <v>0</v>
      </c>
      <c r="L94" s="512">
        <f>'[11] tiền theo CHV Mẫu 07'!$L$13</f>
        <v>0</v>
      </c>
      <c r="M94" s="513">
        <f t="shared" si="6"/>
        <v>2551974</v>
      </c>
      <c r="N94" s="512">
        <f>'[11] tiền theo CHV Mẫu 07'!$N$13</f>
        <v>0</v>
      </c>
      <c r="O94" s="512">
        <f>'[11] tiền theo CHV Mẫu 07'!$O$13</f>
        <v>0</v>
      </c>
      <c r="P94" s="512">
        <f>'[11] tiền theo CHV Mẫu 07'!$P$13</f>
        <v>0</v>
      </c>
      <c r="Q94" s="512">
        <f>'[11] tiền theo CHV Mẫu 07'!$Q$13</f>
        <v>0</v>
      </c>
      <c r="R94" s="514">
        <f>'[11] tiền theo CHV Mẫu 07'!$R$13</f>
        <v>3983812</v>
      </c>
      <c r="S94" s="463">
        <f t="shared" si="7"/>
        <v>6535786</v>
      </c>
      <c r="T94" s="511">
        <f t="shared" si="17"/>
        <v>0.0031927841671653356</v>
      </c>
      <c r="U94" s="383"/>
    </row>
    <row r="95" spans="1:20" ht="30" customHeight="1" thickBot="1">
      <c r="A95" s="428" t="s">
        <v>544</v>
      </c>
      <c r="B95" s="432" t="s">
        <v>545</v>
      </c>
      <c r="C95" s="463">
        <f t="shared" si="3"/>
        <v>6194244</v>
      </c>
      <c r="D95" s="512">
        <v>5266742</v>
      </c>
      <c r="E95" s="512">
        <f>'[11] tiền theo CHV Mẫu 07'!$E$14</f>
        <v>927502</v>
      </c>
      <c r="F95" s="512">
        <f>'[11] tiền theo CHV Mẫu 07'!$F$14</f>
        <v>0</v>
      </c>
      <c r="G95" s="512">
        <v>0</v>
      </c>
      <c r="H95" s="463">
        <f t="shared" si="21"/>
        <v>6194244</v>
      </c>
      <c r="I95" s="463">
        <f t="shared" si="5"/>
        <v>4827018</v>
      </c>
      <c r="J95" s="512">
        <f>'[11] tiền theo CHV Mẫu 07'!$J$14</f>
        <v>15999</v>
      </c>
      <c r="K95" s="512">
        <f>'[11] tiền theo CHV Mẫu 07'!$K$14</f>
        <v>0</v>
      </c>
      <c r="L95" s="512">
        <f>'[11] tiền theo CHV Mẫu 07'!$L$14</f>
        <v>0</v>
      </c>
      <c r="M95" s="513">
        <f t="shared" si="6"/>
        <v>4811019</v>
      </c>
      <c r="N95" s="512">
        <f>'[11] tiền theo CHV Mẫu 07'!$N$14</f>
        <v>0</v>
      </c>
      <c r="O95" s="512">
        <f>'[11] tiền theo CHV Mẫu 07'!$O$14</f>
        <v>0</v>
      </c>
      <c r="P95" s="512">
        <f>'[11] tiền theo CHV Mẫu 07'!$P$14</f>
        <v>0</v>
      </c>
      <c r="Q95" s="512">
        <f>'[11] tiền theo CHV Mẫu 07'!$Q$14</f>
        <v>0</v>
      </c>
      <c r="R95" s="514">
        <f>'[11] tiền theo CHV Mẫu 07'!$R$14</f>
        <v>1367226</v>
      </c>
      <c r="S95" s="463">
        <f t="shared" si="7"/>
        <v>6178245</v>
      </c>
      <c r="T95" s="511">
        <f t="shared" si="17"/>
        <v>0.0033144686843927245</v>
      </c>
    </row>
    <row r="96" spans="1:20" s="384" customFormat="1" ht="29.25" customHeight="1" thickTop="1">
      <c r="A96" s="868"/>
      <c r="B96" s="868"/>
      <c r="C96" s="868"/>
      <c r="D96" s="868"/>
      <c r="E96" s="868"/>
      <c r="F96" s="420"/>
      <c r="G96" s="415"/>
      <c r="H96" s="415"/>
      <c r="I96" s="415"/>
      <c r="J96" s="415"/>
      <c r="K96" s="415"/>
      <c r="L96" s="415"/>
      <c r="M96" s="415"/>
      <c r="N96" s="415"/>
      <c r="O96" s="866" t="str">
        <f>'Thong tin'!B8</f>
        <v>Lâm Đồng, ngày 05 tháng 12 năm 2017</v>
      </c>
      <c r="P96" s="866"/>
      <c r="Q96" s="866"/>
      <c r="R96" s="866"/>
      <c r="S96" s="866"/>
      <c r="T96" s="866"/>
    </row>
    <row r="97" spans="1:20" s="404" customFormat="1" ht="19.5" customHeight="1">
      <c r="A97" s="417"/>
      <c r="B97" s="856" t="s">
        <v>4</v>
      </c>
      <c r="C97" s="856"/>
      <c r="D97" s="856"/>
      <c r="E97" s="856"/>
      <c r="F97" s="413"/>
      <c r="G97" s="413"/>
      <c r="H97" s="413"/>
      <c r="I97" s="413"/>
      <c r="J97" s="413"/>
      <c r="K97" s="413"/>
      <c r="L97" s="413"/>
      <c r="M97" s="413"/>
      <c r="N97" s="413"/>
      <c r="O97" s="867" t="str">
        <f>'Thong tin'!B7</f>
        <v>CỤC TRƯỞNG</v>
      </c>
      <c r="P97" s="867"/>
      <c r="Q97" s="867"/>
      <c r="R97" s="867"/>
      <c r="S97" s="867"/>
      <c r="T97" s="867"/>
    </row>
    <row r="98" spans="1:20" ht="18.75">
      <c r="A98" s="411"/>
      <c r="B98" s="865"/>
      <c r="C98" s="865"/>
      <c r="D98" s="865"/>
      <c r="E98" s="412"/>
      <c r="F98" s="412"/>
      <c r="G98" s="412"/>
      <c r="H98" s="412"/>
      <c r="I98" s="412"/>
      <c r="J98" s="412"/>
      <c r="K98" s="412"/>
      <c r="L98" s="412"/>
      <c r="M98" s="412"/>
      <c r="N98" s="412"/>
      <c r="O98" s="863"/>
      <c r="P98" s="863"/>
      <c r="Q98" s="863"/>
      <c r="R98" s="863"/>
      <c r="S98" s="863"/>
      <c r="T98" s="863"/>
    </row>
    <row r="99" spans="1:20" ht="18.75">
      <c r="A99" s="411"/>
      <c r="B99" s="411"/>
      <c r="C99" s="411"/>
      <c r="D99" s="412"/>
      <c r="E99" s="412"/>
      <c r="F99" s="412"/>
      <c r="G99" s="412"/>
      <c r="H99" s="412"/>
      <c r="I99" s="412"/>
      <c r="J99" s="412"/>
      <c r="K99" s="412"/>
      <c r="L99" s="412"/>
      <c r="M99" s="412"/>
      <c r="N99" s="412"/>
      <c r="O99" s="412"/>
      <c r="P99" s="412"/>
      <c r="Q99" s="412"/>
      <c r="R99" s="412"/>
      <c r="S99" s="411"/>
      <c r="T99" s="411"/>
    </row>
    <row r="100" spans="1:20" ht="15.75">
      <c r="A100" s="410"/>
      <c r="B100" s="890"/>
      <c r="C100" s="890"/>
      <c r="D100" s="890"/>
      <c r="E100" s="421"/>
      <c r="F100" s="421"/>
      <c r="G100" s="421"/>
      <c r="H100" s="421"/>
      <c r="I100" s="421"/>
      <c r="J100" s="421"/>
      <c r="K100" s="421"/>
      <c r="L100" s="421"/>
      <c r="M100" s="421"/>
      <c r="N100" s="421"/>
      <c r="O100" s="421"/>
      <c r="P100" s="421"/>
      <c r="Q100" s="890"/>
      <c r="R100" s="890"/>
      <c r="S100" s="890"/>
      <c r="T100" s="410"/>
    </row>
    <row r="101" spans="1:20" ht="15.75" customHeight="1">
      <c r="A101" s="422"/>
      <c r="B101" s="416"/>
      <c r="C101" s="416"/>
      <c r="D101" s="423"/>
      <c r="E101" s="423"/>
      <c r="F101" s="423"/>
      <c r="G101" s="423"/>
      <c r="H101" s="423"/>
      <c r="I101" s="423"/>
      <c r="J101" s="423"/>
      <c r="K101" s="423"/>
      <c r="L101" s="423"/>
      <c r="M101" s="423"/>
      <c r="N101" s="423"/>
      <c r="O101" s="423"/>
      <c r="P101" s="423"/>
      <c r="Q101" s="423"/>
      <c r="R101" s="423"/>
      <c r="S101" s="416"/>
      <c r="T101" s="416"/>
    </row>
    <row r="102" spans="1:20" ht="15.75" customHeight="1">
      <c r="A102" s="410"/>
      <c r="B102" s="888"/>
      <c r="C102" s="888"/>
      <c r="D102" s="888"/>
      <c r="E102" s="888"/>
      <c r="F102" s="888"/>
      <c r="G102" s="888"/>
      <c r="H102" s="888"/>
      <c r="I102" s="888"/>
      <c r="J102" s="888"/>
      <c r="K102" s="888"/>
      <c r="L102" s="888"/>
      <c r="M102" s="888"/>
      <c r="N102" s="888"/>
      <c r="O102" s="888"/>
      <c r="P102" s="888"/>
      <c r="Q102" s="421"/>
      <c r="R102" s="421"/>
      <c r="S102" s="410"/>
      <c r="T102" s="410"/>
    </row>
    <row r="103" spans="1:20" ht="15.75">
      <c r="A103" s="424"/>
      <c r="B103" s="424"/>
      <c r="C103" s="424"/>
      <c r="D103" s="424"/>
      <c r="E103" s="424"/>
      <c r="F103" s="424"/>
      <c r="G103" s="424"/>
      <c r="H103" s="424"/>
      <c r="I103" s="424"/>
      <c r="J103" s="424"/>
      <c r="K103" s="424"/>
      <c r="L103" s="424"/>
      <c r="M103" s="424"/>
      <c r="N103" s="424"/>
      <c r="O103" s="424"/>
      <c r="P103" s="424"/>
      <c r="Q103" s="424"/>
      <c r="R103" s="410"/>
      <c r="S103" s="410"/>
      <c r="T103" s="410"/>
    </row>
    <row r="104" spans="1:20" ht="18.75">
      <c r="A104" s="410"/>
      <c r="B104" s="861" t="str">
        <f>'Thong tin'!B5</f>
        <v>Phạm Ngọc Hoa</v>
      </c>
      <c r="C104" s="861"/>
      <c r="D104" s="861"/>
      <c r="E104" s="861"/>
      <c r="F104" s="416"/>
      <c r="G104" s="416"/>
      <c r="H104" s="416"/>
      <c r="I104" s="416"/>
      <c r="J104" s="416"/>
      <c r="K104" s="416"/>
      <c r="L104" s="416"/>
      <c r="M104" s="416"/>
      <c r="N104" s="416"/>
      <c r="O104" s="861" t="str">
        <f>'Thong tin'!B6</f>
        <v>Trần Hữu Thọ </v>
      </c>
      <c r="P104" s="861"/>
      <c r="Q104" s="861"/>
      <c r="R104" s="861"/>
      <c r="S104" s="861"/>
      <c r="T104" s="861"/>
    </row>
    <row r="105" spans="2:20" ht="18.75">
      <c r="B105" s="886"/>
      <c r="C105" s="886"/>
      <c r="D105" s="886"/>
      <c r="E105" s="886"/>
      <c r="F105" s="385"/>
      <c r="G105" s="385"/>
      <c r="H105" s="385"/>
      <c r="I105" s="385"/>
      <c r="J105" s="385"/>
      <c r="K105" s="385"/>
      <c r="L105" s="385"/>
      <c r="M105" s="385"/>
      <c r="N105" s="385"/>
      <c r="O105" s="385"/>
      <c r="P105" s="886"/>
      <c r="Q105" s="886"/>
      <c r="R105" s="886"/>
      <c r="S105" s="886"/>
      <c r="T105" s="887"/>
    </row>
  </sheetData>
  <sheetProtection/>
  <mergeCells count="39">
    <mergeCell ref="Q100:S100"/>
    <mergeCell ref="B100:D100"/>
    <mergeCell ref="Q5:T5"/>
    <mergeCell ref="B97:E97"/>
    <mergeCell ref="A10:B10"/>
    <mergeCell ref="J8:Q8"/>
    <mergeCell ref="O98:T98"/>
    <mergeCell ref="B98:D98"/>
    <mergeCell ref="O97:T97"/>
    <mergeCell ref="T6:T9"/>
    <mergeCell ref="B105:E105"/>
    <mergeCell ref="P105:T105"/>
    <mergeCell ref="B104:E104"/>
    <mergeCell ref="B102:P102"/>
    <mergeCell ref="A11:B11"/>
    <mergeCell ref="H6:R6"/>
    <mergeCell ref="D7:E7"/>
    <mergeCell ref="D8:D9"/>
    <mergeCell ref="E8:E9"/>
    <mergeCell ref="O104:T104"/>
    <mergeCell ref="O96:T96"/>
    <mergeCell ref="A6:B9"/>
    <mergeCell ref="S6:S9"/>
    <mergeCell ref="A96:E96"/>
    <mergeCell ref="C6:E6"/>
    <mergeCell ref="C7:C9"/>
    <mergeCell ref="R7:R9"/>
    <mergeCell ref="A2:D2"/>
    <mergeCell ref="Q2:T2"/>
    <mergeCell ref="Q4:T4"/>
    <mergeCell ref="A3:D3"/>
    <mergeCell ref="H7:H9"/>
    <mergeCell ref="I7:Q7"/>
    <mergeCell ref="E1:P1"/>
    <mergeCell ref="E2:P2"/>
    <mergeCell ref="E3:P3"/>
    <mergeCell ref="F6:F9"/>
    <mergeCell ref="G6:G9"/>
    <mergeCell ref="I8:I9"/>
  </mergeCells>
  <printOptions/>
  <pageMargins left="0.24" right="0" top="0" bottom="0" header="0.511811023622047" footer="0.275590551181102"/>
  <pageSetup horizontalDpi="600" verticalDpi="600" orientation="landscape" paperSize="9" scale="5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07" t="s">
        <v>29</v>
      </c>
      <c r="B1" s="607"/>
      <c r="C1" s="607"/>
      <c r="D1" s="607"/>
      <c r="E1" s="606" t="s">
        <v>377</v>
      </c>
      <c r="F1" s="606"/>
      <c r="G1" s="606"/>
      <c r="H1" s="606"/>
      <c r="I1" s="606"/>
      <c r="J1" s="606"/>
      <c r="K1" s="606"/>
      <c r="L1" s="31" t="s">
        <v>353</v>
      </c>
      <c r="M1" s="31"/>
      <c r="N1" s="31"/>
      <c r="O1" s="32"/>
      <c r="P1" s="32"/>
    </row>
    <row r="2" spans="1:16" ht="15.75" customHeight="1">
      <c r="A2" s="593" t="s">
        <v>244</v>
      </c>
      <c r="B2" s="593"/>
      <c r="C2" s="593"/>
      <c r="D2" s="593"/>
      <c r="E2" s="606"/>
      <c r="F2" s="606"/>
      <c r="G2" s="606"/>
      <c r="H2" s="606"/>
      <c r="I2" s="606"/>
      <c r="J2" s="606"/>
      <c r="K2" s="606"/>
      <c r="L2" s="601" t="s">
        <v>256</v>
      </c>
      <c r="M2" s="601"/>
      <c r="N2" s="601"/>
      <c r="O2" s="35"/>
      <c r="P2" s="32"/>
    </row>
    <row r="3" spans="1:16" ht="18" customHeight="1">
      <c r="A3" s="593" t="s">
        <v>245</v>
      </c>
      <c r="B3" s="593"/>
      <c r="C3" s="593"/>
      <c r="D3" s="593"/>
      <c r="E3" s="594" t="s">
        <v>373</v>
      </c>
      <c r="F3" s="594"/>
      <c r="G3" s="594"/>
      <c r="H3" s="594"/>
      <c r="I3" s="594"/>
      <c r="J3" s="594"/>
      <c r="K3" s="36"/>
      <c r="L3" s="602" t="s">
        <v>372</v>
      </c>
      <c r="M3" s="602"/>
      <c r="N3" s="602"/>
      <c r="O3" s="32"/>
      <c r="P3" s="32"/>
    </row>
    <row r="4" spans="1:16" ht="21" customHeight="1">
      <c r="A4" s="605" t="s">
        <v>259</v>
      </c>
      <c r="B4" s="605"/>
      <c r="C4" s="605"/>
      <c r="D4" s="605"/>
      <c r="E4" s="39"/>
      <c r="F4" s="40"/>
      <c r="G4" s="41"/>
      <c r="H4" s="41"/>
      <c r="I4" s="41"/>
      <c r="J4" s="41"/>
      <c r="K4" s="32"/>
      <c r="L4" s="601" t="s">
        <v>251</v>
      </c>
      <c r="M4" s="601"/>
      <c r="N4" s="601"/>
      <c r="O4" s="35"/>
      <c r="P4" s="32"/>
    </row>
    <row r="5" spans="1:16" ht="18" customHeight="1">
      <c r="A5" s="41"/>
      <c r="B5" s="32"/>
      <c r="C5" s="42"/>
      <c r="D5" s="603"/>
      <c r="E5" s="603"/>
      <c r="F5" s="603"/>
      <c r="G5" s="603"/>
      <c r="H5" s="603"/>
      <c r="I5" s="603"/>
      <c r="J5" s="603"/>
      <c r="K5" s="603"/>
      <c r="L5" s="43" t="s">
        <v>260</v>
      </c>
      <c r="M5" s="43"/>
      <c r="N5" s="43"/>
      <c r="O5" s="32"/>
      <c r="P5" s="32"/>
    </row>
    <row r="6" spans="1:18" ht="33" customHeight="1">
      <c r="A6" s="611" t="s">
        <v>57</v>
      </c>
      <c r="B6" s="612"/>
      <c r="C6" s="604" t="s">
        <v>261</v>
      </c>
      <c r="D6" s="604"/>
      <c r="E6" s="604"/>
      <c r="F6" s="604"/>
      <c r="G6" s="580" t="s">
        <v>7</v>
      </c>
      <c r="H6" s="581"/>
      <c r="I6" s="581"/>
      <c r="J6" s="581"/>
      <c r="K6" s="581"/>
      <c r="L6" s="581"/>
      <c r="M6" s="581"/>
      <c r="N6" s="582"/>
      <c r="O6" s="585" t="s">
        <v>262</v>
      </c>
      <c r="P6" s="586"/>
      <c r="Q6" s="586"/>
      <c r="R6" s="587"/>
    </row>
    <row r="7" spans="1:18" ht="29.25" customHeight="1">
      <c r="A7" s="613"/>
      <c r="B7" s="614"/>
      <c r="C7" s="604"/>
      <c r="D7" s="604"/>
      <c r="E7" s="604"/>
      <c r="F7" s="604"/>
      <c r="G7" s="580" t="s">
        <v>263</v>
      </c>
      <c r="H7" s="581"/>
      <c r="I7" s="581"/>
      <c r="J7" s="582"/>
      <c r="K7" s="580" t="s">
        <v>92</v>
      </c>
      <c r="L7" s="581"/>
      <c r="M7" s="581"/>
      <c r="N7" s="582"/>
      <c r="O7" s="45" t="s">
        <v>264</v>
      </c>
      <c r="P7" s="45" t="s">
        <v>265</v>
      </c>
      <c r="Q7" s="588" t="s">
        <v>266</v>
      </c>
      <c r="R7" s="588" t="s">
        <v>267</v>
      </c>
    </row>
    <row r="8" spans="1:18" ht="26.25" customHeight="1">
      <c r="A8" s="613"/>
      <c r="B8" s="614"/>
      <c r="C8" s="583" t="s">
        <v>89</v>
      </c>
      <c r="D8" s="610"/>
      <c r="E8" s="583" t="s">
        <v>88</v>
      </c>
      <c r="F8" s="610"/>
      <c r="G8" s="583" t="s">
        <v>90</v>
      </c>
      <c r="H8" s="584"/>
      <c r="I8" s="583" t="s">
        <v>91</v>
      </c>
      <c r="J8" s="584"/>
      <c r="K8" s="583" t="s">
        <v>93</v>
      </c>
      <c r="L8" s="584"/>
      <c r="M8" s="583" t="s">
        <v>94</v>
      </c>
      <c r="N8" s="584"/>
      <c r="O8" s="590" t="s">
        <v>268</v>
      </c>
      <c r="P8" s="591" t="s">
        <v>269</v>
      </c>
      <c r="Q8" s="588"/>
      <c r="R8" s="588"/>
    </row>
    <row r="9" spans="1:18" ht="30.75" customHeight="1">
      <c r="A9" s="613"/>
      <c r="B9" s="614"/>
      <c r="C9" s="46" t="s">
        <v>3</v>
      </c>
      <c r="D9" s="44" t="s">
        <v>9</v>
      </c>
      <c r="E9" s="44" t="s">
        <v>3</v>
      </c>
      <c r="F9" s="44" t="s">
        <v>9</v>
      </c>
      <c r="G9" s="47" t="s">
        <v>3</v>
      </c>
      <c r="H9" s="47" t="s">
        <v>9</v>
      </c>
      <c r="I9" s="47" t="s">
        <v>3</v>
      </c>
      <c r="J9" s="47" t="s">
        <v>9</v>
      </c>
      <c r="K9" s="47" t="s">
        <v>3</v>
      </c>
      <c r="L9" s="47" t="s">
        <v>9</v>
      </c>
      <c r="M9" s="47" t="s">
        <v>3</v>
      </c>
      <c r="N9" s="47" t="s">
        <v>9</v>
      </c>
      <c r="O9" s="590"/>
      <c r="P9" s="592"/>
      <c r="Q9" s="589"/>
      <c r="R9" s="589"/>
    </row>
    <row r="10" spans="1:18" s="52" customFormat="1" ht="18" customHeight="1">
      <c r="A10" s="597" t="s">
        <v>6</v>
      </c>
      <c r="B10" s="597"/>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599" t="s">
        <v>270</v>
      </c>
      <c r="B11" s="600"/>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17" t="s">
        <v>374</v>
      </c>
      <c r="B12" s="618"/>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15" t="s">
        <v>31</v>
      </c>
      <c r="B13" s="616"/>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271</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272</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273</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274</v>
      </c>
    </row>
    <row r="18" spans="1:18" s="70" customFormat="1" ht="18" customHeight="1">
      <c r="A18" s="66" t="s">
        <v>49</v>
      </c>
      <c r="B18" s="67" t="s">
        <v>275</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276</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277</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278</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279</v>
      </c>
      <c r="AK21" s="52" t="s">
        <v>280</v>
      </c>
      <c r="AL21" s="52" t="s">
        <v>281</v>
      </c>
      <c r="AM21" s="63" t="s">
        <v>282</v>
      </c>
    </row>
    <row r="22" spans="1:39" s="52" customFormat="1" ht="18" customHeight="1">
      <c r="A22" s="66" t="s">
        <v>61</v>
      </c>
      <c r="B22" s="67" t="s">
        <v>283</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284</v>
      </c>
    </row>
    <row r="23" spans="1:18" s="52" customFormat="1" ht="18" customHeight="1">
      <c r="A23" s="66" t="s">
        <v>62</v>
      </c>
      <c r="B23" s="67" t="s">
        <v>285</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286</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279</v>
      </c>
    </row>
    <row r="25" spans="1:36" s="52" customFormat="1" ht="18" customHeight="1">
      <c r="A25" s="66" t="s">
        <v>83</v>
      </c>
      <c r="B25" s="67" t="s">
        <v>287</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288</v>
      </c>
    </row>
    <row r="26" spans="1:44" s="52" customFormat="1" ht="18" customHeight="1">
      <c r="A26" s="66" t="s">
        <v>84</v>
      </c>
      <c r="B26" s="67" t="s">
        <v>289</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98" t="s">
        <v>375</v>
      </c>
      <c r="C28" s="598"/>
      <c r="D28" s="598"/>
      <c r="E28" s="598"/>
      <c r="F28" s="75"/>
      <c r="G28" s="76"/>
      <c r="H28" s="76"/>
      <c r="I28" s="76"/>
      <c r="J28" s="598" t="s">
        <v>376</v>
      </c>
      <c r="K28" s="598"/>
      <c r="L28" s="598"/>
      <c r="M28" s="598"/>
      <c r="N28" s="598"/>
      <c r="O28" s="77"/>
      <c r="P28" s="77"/>
      <c r="AG28" s="78" t="s">
        <v>291</v>
      </c>
      <c r="AI28" s="79">
        <f>82/88</f>
        <v>0.9318181818181818</v>
      </c>
    </row>
    <row r="29" spans="1:16" s="85" customFormat="1" ht="19.5" customHeight="1">
      <c r="A29" s="80"/>
      <c r="B29" s="577" t="s">
        <v>35</v>
      </c>
      <c r="C29" s="577"/>
      <c r="D29" s="577"/>
      <c r="E29" s="577"/>
      <c r="F29" s="82"/>
      <c r="G29" s="83"/>
      <c r="H29" s="83"/>
      <c r="I29" s="83"/>
      <c r="J29" s="577" t="s">
        <v>292</v>
      </c>
      <c r="K29" s="577"/>
      <c r="L29" s="577"/>
      <c r="M29" s="577"/>
      <c r="N29" s="577"/>
      <c r="O29" s="84"/>
      <c r="P29" s="84"/>
    </row>
    <row r="30" spans="1:16" s="85" customFormat="1" ht="19.5" customHeight="1">
      <c r="A30" s="80"/>
      <c r="B30" s="595"/>
      <c r="C30" s="595"/>
      <c r="D30" s="595"/>
      <c r="E30" s="82"/>
      <c r="F30" s="82"/>
      <c r="G30" s="83"/>
      <c r="H30" s="83"/>
      <c r="I30" s="83"/>
      <c r="J30" s="596"/>
      <c r="K30" s="596"/>
      <c r="L30" s="596"/>
      <c r="M30" s="596"/>
      <c r="N30" s="596"/>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579" t="s">
        <v>293</v>
      </c>
      <c r="C32" s="579"/>
      <c r="D32" s="579"/>
      <c r="E32" s="579"/>
      <c r="F32" s="87"/>
      <c r="G32" s="88"/>
      <c r="H32" s="88"/>
      <c r="I32" s="88"/>
      <c r="J32" s="578" t="s">
        <v>293</v>
      </c>
      <c r="K32" s="578"/>
      <c r="L32" s="578"/>
      <c r="M32" s="578"/>
      <c r="N32" s="578"/>
      <c r="O32" s="84"/>
      <c r="P32" s="84"/>
    </row>
    <row r="33" spans="1:16" s="85" customFormat="1" ht="19.5" customHeight="1">
      <c r="A33" s="80"/>
      <c r="B33" s="577" t="s">
        <v>294</v>
      </c>
      <c r="C33" s="577"/>
      <c r="D33" s="577"/>
      <c r="E33" s="577"/>
      <c r="F33" s="82"/>
      <c r="G33" s="83"/>
      <c r="H33" s="83"/>
      <c r="I33" s="83"/>
      <c r="J33" s="81"/>
      <c r="K33" s="577" t="s">
        <v>294</v>
      </c>
      <c r="L33" s="577"/>
      <c r="M33" s="577"/>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08" t="s">
        <v>247</v>
      </c>
      <c r="C36" s="608"/>
      <c r="D36" s="608"/>
      <c r="E36" s="608"/>
      <c r="F36" s="91"/>
      <c r="G36" s="91"/>
      <c r="H36" s="91"/>
      <c r="I36" s="91"/>
      <c r="J36" s="609" t="s">
        <v>248</v>
      </c>
      <c r="K36" s="609"/>
      <c r="L36" s="609"/>
      <c r="M36" s="609"/>
      <c r="N36" s="609"/>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19" t="s">
        <v>26</v>
      </c>
      <c r="B1" s="619"/>
      <c r="C1" s="98"/>
      <c r="D1" s="626" t="s">
        <v>354</v>
      </c>
      <c r="E1" s="626"/>
      <c r="F1" s="626"/>
      <c r="G1" s="626"/>
      <c r="H1" s="626"/>
      <c r="I1" s="626"/>
      <c r="J1" s="626"/>
      <c r="K1" s="626"/>
      <c r="L1" s="626"/>
      <c r="M1" s="644" t="s">
        <v>295</v>
      </c>
      <c r="N1" s="645"/>
      <c r="O1" s="645"/>
      <c r="P1" s="645"/>
    </row>
    <row r="2" spans="1:16" s="42" customFormat="1" ht="34.5" customHeight="1">
      <c r="A2" s="625" t="s">
        <v>296</v>
      </c>
      <c r="B2" s="625"/>
      <c r="C2" s="625"/>
      <c r="D2" s="626"/>
      <c r="E2" s="626"/>
      <c r="F2" s="626"/>
      <c r="G2" s="626"/>
      <c r="H2" s="626"/>
      <c r="I2" s="626"/>
      <c r="J2" s="626"/>
      <c r="K2" s="626"/>
      <c r="L2" s="626"/>
      <c r="M2" s="646" t="s">
        <v>355</v>
      </c>
      <c r="N2" s="647"/>
      <c r="O2" s="647"/>
      <c r="P2" s="647"/>
    </row>
    <row r="3" spans="1:16" s="42" customFormat="1" ht="19.5" customHeight="1">
      <c r="A3" s="624" t="s">
        <v>297</v>
      </c>
      <c r="B3" s="624"/>
      <c r="C3" s="624"/>
      <c r="D3" s="626"/>
      <c r="E3" s="626"/>
      <c r="F3" s="626"/>
      <c r="G3" s="626"/>
      <c r="H3" s="626"/>
      <c r="I3" s="626"/>
      <c r="J3" s="626"/>
      <c r="K3" s="626"/>
      <c r="L3" s="626"/>
      <c r="M3" s="646" t="s">
        <v>298</v>
      </c>
      <c r="N3" s="647"/>
      <c r="O3" s="647"/>
      <c r="P3" s="647"/>
    </row>
    <row r="4" spans="1:16" s="103" customFormat="1" ht="18.75" customHeight="1">
      <c r="A4" s="99"/>
      <c r="B4" s="99"/>
      <c r="C4" s="100"/>
      <c r="D4" s="603"/>
      <c r="E4" s="603"/>
      <c r="F4" s="603"/>
      <c r="G4" s="603"/>
      <c r="H4" s="603"/>
      <c r="I4" s="603"/>
      <c r="J4" s="603"/>
      <c r="K4" s="603"/>
      <c r="L4" s="603"/>
      <c r="M4" s="101" t="s">
        <v>299</v>
      </c>
      <c r="N4" s="102"/>
      <c r="O4" s="102"/>
      <c r="P4" s="102"/>
    </row>
    <row r="5" spans="1:16" ht="49.5" customHeight="1">
      <c r="A5" s="633" t="s">
        <v>57</v>
      </c>
      <c r="B5" s="634"/>
      <c r="C5" s="621" t="s">
        <v>82</v>
      </c>
      <c r="D5" s="622"/>
      <c r="E5" s="622"/>
      <c r="F5" s="622"/>
      <c r="G5" s="622"/>
      <c r="H5" s="622"/>
      <c r="I5" s="622"/>
      <c r="J5" s="622"/>
      <c r="K5" s="620" t="s">
        <v>81</v>
      </c>
      <c r="L5" s="620"/>
      <c r="M5" s="620"/>
      <c r="N5" s="620"/>
      <c r="O5" s="620"/>
      <c r="P5" s="620"/>
    </row>
    <row r="6" spans="1:16" ht="20.25" customHeight="1">
      <c r="A6" s="635"/>
      <c r="B6" s="636"/>
      <c r="C6" s="621" t="s">
        <v>3</v>
      </c>
      <c r="D6" s="622"/>
      <c r="E6" s="622"/>
      <c r="F6" s="623"/>
      <c r="G6" s="620" t="s">
        <v>9</v>
      </c>
      <c r="H6" s="620"/>
      <c r="I6" s="620"/>
      <c r="J6" s="620"/>
      <c r="K6" s="648" t="s">
        <v>3</v>
      </c>
      <c r="L6" s="648"/>
      <c r="M6" s="648"/>
      <c r="N6" s="641" t="s">
        <v>9</v>
      </c>
      <c r="O6" s="641"/>
      <c r="P6" s="641"/>
    </row>
    <row r="7" spans="1:16" ht="52.5" customHeight="1">
      <c r="A7" s="635"/>
      <c r="B7" s="636"/>
      <c r="C7" s="639" t="s">
        <v>300</v>
      </c>
      <c r="D7" s="622" t="s">
        <v>78</v>
      </c>
      <c r="E7" s="622"/>
      <c r="F7" s="623"/>
      <c r="G7" s="620" t="s">
        <v>301</v>
      </c>
      <c r="H7" s="620" t="s">
        <v>78</v>
      </c>
      <c r="I7" s="620"/>
      <c r="J7" s="620"/>
      <c r="K7" s="620" t="s">
        <v>32</v>
      </c>
      <c r="L7" s="620" t="s">
        <v>79</v>
      </c>
      <c r="M7" s="620"/>
      <c r="N7" s="620" t="s">
        <v>64</v>
      </c>
      <c r="O7" s="620" t="s">
        <v>79</v>
      </c>
      <c r="P7" s="620"/>
    </row>
    <row r="8" spans="1:16" ht="15.75" customHeight="1">
      <c r="A8" s="635"/>
      <c r="B8" s="636"/>
      <c r="C8" s="639"/>
      <c r="D8" s="620" t="s">
        <v>36</v>
      </c>
      <c r="E8" s="620" t="s">
        <v>37</v>
      </c>
      <c r="F8" s="620" t="s">
        <v>40</v>
      </c>
      <c r="G8" s="620"/>
      <c r="H8" s="620" t="s">
        <v>36</v>
      </c>
      <c r="I8" s="620" t="s">
        <v>37</v>
      </c>
      <c r="J8" s="620" t="s">
        <v>40</v>
      </c>
      <c r="K8" s="620"/>
      <c r="L8" s="620" t="s">
        <v>14</v>
      </c>
      <c r="M8" s="620" t="s">
        <v>13</v>
      </c>
      <c r="N8" s="620"/>
      <c r="O8" s="620" t="s">
        <v>14</v>
      </c>
      <c r="P8" s="620" t="s">
        <v>13</v>
      </c>
    </row>
    <row r="9" spans="1:16" ht="44.25" customHeight="1">
      <c r="A9" s="637"/>
      <c r="B9" s="638"/>
      <c r="C9" s="640"/>
      <c r="D9" s="620"/>
      <c r="E9" s="620"/>
      <c r="F9" s="620"/>
      <c r="G9" s="620"/>
      <c r="H9" s="620"/>
      <c r="I9" s="620"/>
      <c r="J9" s="620"/>
      <c r="K9" s="620"/>
      <c r="L9" s="620"/>
      <c r="M9" s="620"/>
      <c r="N9" s="620"/>
      <c r="O9" s="620"/>
      <c r="P9" s="620"/>
    </row>
    <row r="10" spans="1:16" ht="15" customHeight="1">
      <c r="A10" s="631" t="s">
        <v>6</v>
      </c>
      <c r="B10" s="632"/>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42" t="s">
        <v>302</v>
      </c>
      <c r="B11" s="643"/>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27" t="s">
        <v>303</v>
      </c>
      <c r="B12" s="628"/>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29" t="s">
        <v>33</v>
      </c>
      <c r="B13" s="630"/>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271</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272</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304</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274</v>
      </c>
    </row>
    <row r="18" spans="1:16" s="42" customFormat="1" ht="15" customHeight="1">
      <c r="A18" s="116" t="s">
        <v>49</v>
      </c>
      <c r="B18" s="117" t="s">
        <v>275</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276</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277</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278</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279</v>
      </c>
      <c r="AK21" s="42" t="s">
        <v>280</v>
      </c>
      <c r="AL21" s="42" t="s">
        <v>281</v>
      </c>
      <c r="AM21" s="113" t="s">
        <v>282</v>
      </c>
    </row>
    <row r="22" spans="1:39" s="42" customFormat="1" ht="15" customHeight="1">
      <c r="A22" s="116" t="s">
        <v>61</v>
      </c>
      <c r="B22" s="117" t="s">
        <v>283</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284</v>
      </c>
    </row>
    <row r="23" spans="1:16" s="42" customFormat="1" ht="15" customHeight="1">
      <c r="A23" s="116" t="s">
        <v>62</v>
      </c>
      <c r="B23" s="117" t="s">
        <v>285</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286</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279</v>
      </c>
    </row>
    <row r="25" spans="1:36" s="42" customFormat="1" ht="15" customHeight="1">
      <c r="A25" s="116" t="s">
        <v>83</v>
      </c>
      <c r="B25" s="117" t="s">
        <v>287</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288</v>
      </c>
    </row>
    <row r="26" spans="1:44" s="42" customFormat="1" ht="15" customHeight="1">
      <c r="A26" s="116" t="s">
        <v>84</v>
      </c>
      <c r="B26" s="117" t="s">
        <v>289</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54" t="s">
        <v>356</v>
      </c>
      <c r="C28" s="655"/>
      <c r="D28" s="655"/>
      <c r="E28" s="655"/>
      <c r="F28" s="123"/>
      <c r="G28" s="123"/>
      <c r="H28" s="123"/>
      <c r="I28" s="123"/>
      <c r="J28" s="123"/>
      <c r="K28" s="649" t="s">
        <v>357</v>
      </c>
      <c r="L28" s="649"/>
      <c r="M28" s="649"/>
      <c r="N28" s="649"/>
      <c r="O28" s="649"/>
      <c r="P28" s="649"/>
      <c r="AG28" s="73" t="s">
        <v>291</v>
      </c>
      <c r="AI28" s="113">
        <f>82/88</f>
        <v>0.9318181818181818</v>
      </c>
    </row>
    <row r="29" spans="2:16" ht="16.5">
      <c r="B29" s="655"/>
      <c r="C29" s="655"/>
      <c r="D29" s="655"/>
      <c r="E29" s="655"/>
      <c r="F29" s="123"/>
      <c r="G29" s="123"/>
      <c r="H29" s="123"/>
      <c r="I29" s="123"/>
      <c r="J29" s="123"/>
      <c r="K29" s="649"/>
      <c r="L29" s="649"/>
      <c r="M29" s="649"/>
      <c r="N29" s="649"/>
      <c r="O29" s="649"/>
      <c r="P29" s="649"/>
    </row>
    <row r="30" spans="2:16" ht="21" customHeight="1">
      <c r="B30" s="655"/>
      <c r="C30" s="655"/>
      <c r="D30" s="655"/>
      <c r="E30" s="655"/>
      <c r="F30" s="123"/>
      <c r="G30" s="123"/>
      <c r="H30" s="123"/>
      <c r="I30" s="123"/>
      <c r="J30" s="123"/>
      <c r="K30" s="649"/>
      <c r="L30" s="649"/>
      <c r="M30" s="649"/>
      <c r="N30" s="649"/>
      <c r="O30" s="649"/>
      <c r="P30" s="649"/>
    </row>
    <row r="32" spans="2:16" ht="16.5" customHeight="1">
      <c r="B32" s="657" t="s">
        <v>294</v>
      </c>
      <c r="C32" s="657"/>
      <c r="D32" s="657"/>
      <c r="E32" s="124"/>
      <c r="F32" s="124"/>
      <c r="G32" s="124"/>
      <c r="H32" s="124"/>
      <c r="I32" s="124"/>
      <c r="J32" s="124"/>
      <c r="K32" s="656" t="s">
        <v>358</v>
      </c>
      <c r="L32" s="656"/>
      <c r="M32" s="656"/>
      <c r="N32" s="656"/>
      <c r="O32" s="656"/>
      <c r="P32" s="656"/>
    </row>
    <row r="33" ht="12.75" customHeight="1"/>
    <row r="34" spans="2:5" ht="15.75">
      <c r="B34" s="125"/>
      <c r="C34" s="125"/>
      <c r="D34" s="125"/>
      <c r="E34" s="125"/>
    </row>
    <row r="35" ht="15.75" hidden="1"/>
    <row r="36" spans="2:16" ht="15.75">
      <c r="B36" s="652" t="s">
        <v>247</v>
      </c>
      <c r="C36" s="652"/>
      <c r="D36" s="652"/>
      <c r="E36" s="652"/>
      <c r="F36" s="126"/>
      <c r="G36" s="126"/>
      <c r="H36" s="126"/>
      <c r="I36" s="126"/>
      <c r="K36" s="653" t="s">
        <v>248</v>
      </c>
      <c r="L36" s="653"/>
      <c r="M36" s="653"/>
      <c r="N36" s="653"/>
      <c r="O36" s="653"/>
      <c r="P36" s="653"/>
    </row>
    <row r="39" ht="15.75">
      <c r="A39" s="128" t="s">
        <v>41</v>
      </c>
    </row>
    <row r="40" spans="1:6" ht="15.75">
      <c r="A40" s="129"/>
      <c r="B40" s="130" t="s">
        <v>50</v>
      </c>
      <c r="C40" s="130"/>
      <c r="D40" s="130"/>
      <c r="E40" s="130"/>
      <c r="F40" s="130"/>
    </row>
    <row r="41" spans="1:14" ht="15.75" customHeight="1">
      <c r="A41" s="131" t="s">
        <v>25</v>
      </c>
      <c r="B41" s="651" t="s">
        <v>53</v>
      </c>
      <c r="C41" s="651"/>
      <c r="D41" s="651"/>
      <c r="E41" s="651"/>
      <c r="F41" s="651"/>
      <c r="G41" s="131"/>
      <c r="H41" s="131"/>
      <c r="I41" s="131"/>
      <c r="J41" s="131"/>
      <c r="K41" s="131"/>
      <c r="L41" s="131"/>
      <c r="M41" s="131"/>
      <c r="N41" s="131"/>
    </row>
    <row r="42" spans="1:14" ht="15" customHeight="1">
      <c r="A42" s="131"/>
      <c r="B42" s="650" t="s">
        <v>54</v>
      </c>
      <c r="C42" s="650"/>
      <c r="D42" s="650"/>
      <c r="E42" s="650"/>
      <c r="F42" s="650"/>
      <c r="G42" s="650"/>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07" t="s">
        <v>99</v>
      </c>
      <c r="B1" s="607"/>
      <c r="C1" s="607"/>
      <c r="D1" s="661" t="s">
        <v>359</v>
      </c>
      <c r="E1" s="661"/>
      <c r="F1" s="661"/>
      <c r="G1" s="661"/>
      <c r="H1" s="661"/>
      <c r="I1" s="661"/>
      <c r="J1" s="670" t="s">
        <v>360</v>
      </c>
      <c r="K1" s="671"/>
      <c r="L1" s="671"/>
    </row>
    <row r="2" spans="1:13" ht="15.75" customHeight="1">
      <c r="A2" s="672" t="s">
        <v>305</v>
      </c>
      <c r="B2" s="672"/>
      <c r="C2" s="672"/>
      <c r="D2" s="661"/>
      <c r="E2" s="661"/>
      <c r="F2" s="661"/>
      <c r="G2" s="661"/>
      <c r="H2" s="661"/>
      <c r="I2" s="661"/>
      <c r="J2" s="671" t="s">
        <v>306</v>
      </c>
      <c r="K2" s="671"/>
      <c r="L2" s="671"/>
      <c r="M2" s="133"/>
    </row>
    <row r="3" spans="1:13" ht="15.75" customHeight="1">
      <c r="A3" s="593" t="s">
        <v>257</v>
      </c>
      <c r="B3" s="593"/>
      <c r="C3" s="593"/>
      <c r="D3" s="661"/>
      <c r="E3" s="661"/>
      <c r="F3" s="661"/>
      <c r="G3" s="661"/>
      <c r="H3" s="661"/>
      <c r="I3" s="661"/>
      <c r="J3" s="670" t="s">
        <v>361</v>
      </c>
      <c r="K3" s="670"/>
      <c r="L3" s="670"/>
      <c r="M3" s="37"/>
    </row>
    <row r="4" spans="1:13" ht="15.75" customHeight="1">
      <c r="A4" s="668" t="s">
        <v>259</v>
      </c>
      <c r="B4" s="668"/>
      <c r="C4" s="668"/>
      <c r="D4" s="663"/>
      <c r="E4" s="663"/>
      <c r="F4" s="663"/>
      <c r="G4" s="663"/>
      <c r="H4" s="663"/>
      <c r="I4" s="663"/>
      <c r="J4" s="671" t="s">
        <v>307</v>
      </c>
      <c r="K4" s="671"/>
      <c r="L4" s="671"/>
      <c r="M4" s="133"/>
    </row>
    <row r="5" spans="1:13" ht="15.75">
      <c r="A5" s="134"/>
      <c r="B5" s="134"/>
      <c r="C5" s="34"/>
      <c r="D5" s="34"/>
      <c r="E5" s="34"/>
      <c r="F5" s="34"/>
      <c r="G5" s="34"/>
      <c r="H5" s="34"/>
      <c r="I5" s="34"/>
      <c r="J5" s="662" t="s">
        <v>8</v>
      </c>
      <c r="K5" s="662"/>
      <c r="L5" s="662"/>
      <c r="M5" s="133"/>
    </row>
    <row r="6" spans="1:14" ht="15.75">
      <c r="A6" s="675" t="s">
        <v>57</v>
      </c>
      <c r="B6" s="676"/>
      <c r="C6" s="620" t="s">
        <v>308</v>
      </c>
      <c r="D6" s="660" t="s">
        <v>309</v>
      </c>
      <c r="E6" s="660"/>
      <c r="F6" s="660"/>
      <c r="G6" s="660"/>
      <c r="H6" s="660"/>
      <c r="I6" s="660"/>
      <c r="J6" s="604" t="s">
        <v>97</v>
      </c>
      <c r="K6" s="604"/>
      <c r="L6" s="604"/>
      <c r="M6" s="658" t="s">
        <v>310</v>
      </c>
      <c r="N6" s="659" t="s">
        <v>311</v>
      </c>
    </row>
    <row r="7" spans="1:14" ht="15.75" customHeight="1">
      <c r="A7" s="677"/>
      <c r="B7" s="678"/>
      <c r="C7" s="620"/>
      <c r="D7" s="660" t="s">
        <v>7</v>
      </c>
      <c r="E7" s="660"/>
      <c r="F7" s="660"/>
      <c r="G7" s="660"/>
      <c r="H7" s="660"/>
      <c r="I7" s="660"/>
      <c r="J7" s="604"/>
      <c r="K7" s="604"/>
      <c r="L7" s="604"/>
      <c r="M7" s="658"/>
      <c r="N7" s="659"/>
    </row>
    <row r="8" spans="1:14" s="73" customFormat="1" ht="31.5" customHeight="1">
      <c r="A8" s="677"/>
      <c r="B8" s="678"/>
      <c r="C8" s="620"/>
      <c r="D8" s="604" t="s">
        <v>95</v>
      </c>
      <c r="E8" s="604" t="s">
        <v>96</v>
      </c>
      <c r="F8" s="604"/>
      <c r="G8" s="604"/>
      <c r="H8" s="604"/>
      <c r="I8" s="604"/>
      <c r="J8" s="604"/>
      <c r="K8" s="604"/>
      <c r="L8" s="604"/>
      <c r="M8" s="658"/>
      <c r="N8" s="659"/>
    </row>
    <row r="9" spans="1:14" s="73" customFormat="1" ht="15.75" customHeight="1">
      <c r="A9" s="677"/>
      <c r="B9" s="678"/>
      <c r="C9" s="620"/>
      <c r="D9" s="604"/>
      <c r="E9" s="604" t="s">
        <v>98</v>
      </c>
      <c r="F9" s="604" t="s">
        <v>7</v>
      </c>
      <c r="G9" s="604"/>
      <c r="H9" s="604"/>
      <c r="I9" s="604"/>
      <c r="J9" s="604" t="s">
        <v>7</v>
      </c>
      <c r="K9" s="604"/>
      <c r="L9" s="604"/>
      <c r="M9" s="658"/>
      <c r="N9" s="659"/>
    </row>
    <row r="10" spans="1:14" s="73" customFormat="1" ht="86.25" customHeight="1">
      <c r="A10" s="679"/>
      <c r="B10" s="680"/>
      <c r="C10" s="620"/>
      <c r="D10" s="604"/>
      <c r="E10" s="604"/>
      <c r="F10" s="104" t="s">
        <v>22</v>
      </c>
      <c r="G10" s="104" t="s">
        <v>24</v>
      </c>
      <c r="H10" s="104" t="s">
        <v>16</v>
      </c>
      <c r="I10" s="104" t="s">
        <v>23</v>
      </c>
      <c r="J10" s="104" t="s">
        <v>15</v>
      </c>
      <c r="K10" s="104" t="s">
        <v>20</v>
      </c>
      <c r="L10" s="104" t="s">
        <v>21</v>
      </c>
      <c r="M10" s="658"/>
      <c r="N10" s="659"/>
    </row>
    <row r="11" spans="1:32" ht="13.5" customHeight="1">
      <c r="A11" s="685" t="s">
        <v>5</v>
      </c>
      <c r="B11" s="686"/>
      <c r="C11" s="135">
        <v>1</v>
      </c>
      <c r="D11" s="135" t="s">
        <v>44</v>
      </c>
      <c r="E11" s="135" t="s">
        <v>49</v>
      </c>
      <c r="F11" s="135" t="s">
        <v>58</v>
      </c>
      <c r="G11" s="135" t="s">
        <v>59</v>
      </c>
      <c r="H11" s="135" t="s">
        <v>60</v>
      </c>
      <c r="I11" s="135" t="s">
        <v>61</v>
      </c>
      <c r="J11" s="135" t="s">
        <v>62</v>
      </c>
      <c r="K11" s="135" t="s">
        <v>63</v>
      </c>
      <c r="L11" s="135" t="s">
        <v>83</v>
      </c>
      <c r="M11" s="136"/>
      <c r="N11" s="137"/>
      <c r="AF11" s="33" t="s">
        <v>271</v>
      </c>
    </row>
    <row r="12" spans="1:14" ht="24" customHeight="1">
      <c r="A12" s="666" t="s">
        <v>302</v>
      </c>
      <c r="B12" s="667"/>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64" t="s">
        <v>258</v>
      </c>
      <c r="B13" s="665"/>
      <c r="C13" s="139">
        <v>59</v>
      </c>
      <c r="D13" s="139">
        <v>43</v>
      </c>
      <c r="E13" s="139">
        <v>0</v>
      </c>
      <c r="F13" s="139">
        <v>5</v>
      </c>
      <c r="G13" s="139">
        <v>2</v>
      </c>
      <c r="H13" s="139">
        <v>7</v>
      </c>
      <c r="I13" s="139">
        <v>2</v>
      </c>
      <c r="J13" s="139">
        <v>10</v>
      </c>
      <c r="K13" s="139">
        <v>44</v>
      </c>
      <c r="L13" s="139">
        <v>5</v>
      </c>
      <c r="M13" s="136"/>
      <c r="N13" s="137"/>
    </row>
    <row r="14" spans="1:37" s="52" customFormat="1" ht="16.5" customHeight="1">
      <c r="A14" s="683" t="s">
        <v>30</v>
      </c>
      <c r="B14" s="684"/>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272</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274</v>
      </c>
    </row>
    <row r="18" spans="1:14" s="148" customFormat="1" ht="16.5" customHeight="1">
      <c r="A18" s="147" t="s">
        <v>44</v>
      </c>
      <c r="B18" s="68" t="s">
        <v>304</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275</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276</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277</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279</v>
      </c>
      <c r="AK21" s="148" t="s">
        <v>280</v>
      </c>
      <c r="AL21" s="148" t="s">
        <v>281</v>
      </c>
      <c r="AM21" s="63" t="s">
        <v>282</v>
      </c>
    </row>
    <row r="22" spans="1:39" s="148" customFormat="1" ht="16.5" customHeight="1">
      <c r="A22" s="147" t="s">
        <v>60</v>
      </c>
      <c r="B22" s="68" t="s">
        <v>278</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284</v>
      </c>
    </row>
    <row r="23" spans="1:14" s="148" customFormat="1" ht="16.5" customHeight="1">
      <c r="A23" s="147" t="s">
        <v>61</v>
      </c>
      <c r="B23" s="68" t="s">
        <v>283</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285</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279</v>
      </c>
    </row>
    <row r="25" spans="1:36" s="148" customFormat="1" ht="16.5" customHeight="1">
      <c r="A25" s="147" t="s">
        <v>63</v>
      </c>
      <c r="B25" s="68" t="s">
        <v>286</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288</v>
      </c>
    </row>
    <row r="26" spans="1:44" s="70" customFormat="1" ht="16.5" customHeight="1">
      <c r="A26" s="151" t="s">
        <v>83</v>
      </c>
      <c r="B26" s="68" t="s">
        <v>287</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289</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291</v>
      </c>
      <c r="AI28" s="157">
        <f>82/88</f>
        <v>0.9318181818181818</v>
      </c>
    </row>
    <row r="29" spans="1:13" ht="16.5" customHeight="1">
      <c r="A29" s="598" t="s">
        <v>362</v>
      </c>
      <c r="B29" s="687"/>
      <c r="C29" s="687"/>
      <c r="D29" s="687"/>
      <c r="E29" s="158"/>
      <c r="F29" s="158"/>
      <c r="G29" s="158"/>
      <c r="H29" s="673" t="s">
        <v>312</v>
      </c>
      <c r="I29" s="673"/>
      <c r="J29" s="673"/>
      <c r="K29" s="673"/>
      <c r="L29" s="673"/>
      <c r="M29" s="159"/>
    </row>
    <row r="30" spans="1:12" ht="18.75">
      <c r="A30" s="687"/>
      <c r="B30" s="687"/>
      <c r="C30" s="687"/>
      <c r="D30" s="687"/>
      <c r="E30" s="158"/>
      <c r="F30" s="158"/>
      <c r="G30" s="158"/>
      <c r="H30" s="674" t="s">
        <v>313</v>
      </c>
      <c r="I30" s="674"/>
      <c r="J30" s="674"/>
      <c r="K30" s="674"/>
      <c r="L30" s="674"/>
    </row>
    <row r="31" spans="1:12" s="32" customFormat="1" ht="16.5" customHeight="1">
      <c r="A31" s="595"/>
      <c r="B31" s="595"/>
      <c r="C31" s="595"/>
      <c r="D31" s="595"/>
      <c r="E31" s="160"/>
      <c r="F31" s="160"/>
      <c r="G31" s="160"/>
      <c r="H31" s="596"/>
      <c r="I31" s="596"/>
      <c r="J31" s="596"/>
      <c r="K31" s="596"/>
      <c r="L31" s="596"/>
    </row>
    <row r="32" spans="1:12" ht="18.75">
      <c r="A32" s="89"/>
      <c r="B32" s="595" t="s">
        <v>294</v>
      </c>
      <c r="C32" s="595"/>
      <c r="D32" s="595"/>
      <c r="E32" s="160"/>
      <c r="F32" s="160"/>
      <c r="G32" s="160"/>
      <c r="H32" s="160"/>
      <c r="I32" s="669" t="s">
        <v>294</v>
      </c>
      <c r="J32" s="669"/>
      <c r="K32" s="669"/>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08" t="s">
        <v>247</v>
      </c>
      <c r="B37" s="608"/>
      <c r="C37" s="608"/>
      <c r="D37" s="608"/>
      <c r="E37" s="91"/>
      <c r="F37" s="91"/>
      <c r="G37" s="91"/>
      <c r="H37" s="609" t="s">
        <v>247</v>
      </c>
      <c r="I37" s="609"/>
      <c r="J37" s="609"/>
      <c r="K37" s="609"/>
      <c r="L37" s="609"/>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82" t="s">
        <v>50</v>
      </c>
      <c r="C40" s="682"/>
      <c r="D40" s="682"/>
      <c r="E40" s="682"/>
      <c r="F40" s="682"/>
      <c r="G40" s="682"/>
      <c r="H40" s="682"/>
      <c r="I40" s="682"/>
      <c r="J40" s="682"/>
      <c r="K40" s="682"/>
      <c r="L40" s="682"/>
    </row>
    <row r="41" spans="1:12" ht="16.5" customHeight="1">
      <c r="A41" s="165"/>
      <c r="B41" s="681" t="s">
        <v>52</v>
      </c>
      <c r="C41" s="681"/>
      <c r="D41" s="681"/>
      <c r="E41" s="681"/>
      <c r="F41" s="681"/>
      <c r="G41" s="681"/>
      <c r="H41" s="681"/>
      <c r="I41" s="681"/>
      <c r="J41" s="681"/>
      <c r="K41" s="681"/>
      <c r="L41" s="681"/>
    </row>
    <row r="42" ht="15.75">
      <c r="B42" s="38" t="s">
        <v>51</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04" t="s">
        <v>136</v>
      </c>
      <c r="B1" s="704"/>
      <c r="C1" s="704"/>
      <c r="D1" s="699" t="s">
        <v>316</v>
      </c>
      <c r="E1" s="700"/>
      <c r="F1" s="700"/>
      <c r="G1" s="700"/>
      <c r="H1" s="700"/>
      <c r="I1" s="700"/>
      <c r="J1" s="700"/>
      <c r="K1" s="700"/>
      <c r="L1" s="700"/>
      <c r="M1" s="700"/>
      <c r="N1" s="700"/>
      <c r="O1" s="212"/>
      <c r="P1" s="169" t="s">
        <v>366</v>
      </c>
      <c r="Q1" s="168"/>
      <c r="R1" s="168"/>
      <c r="S1" s="168"/>
      <c r="T1" s="168"/>
      <c r="U1" s="212"/>
    </row>
    <row r="2" spans="1:21" ht="16.5" customHeight="1">
      <c r="A2" s="701" t="s">
        <v>317</v>
      </c>
      <c r="B2" s="701"/>
      <c r="C2" s="701"/>
      <c r="D2" s="700"/>
      <c r="E2" s="700"/>
      <c r="F2" s="700"/>
      <c r="G2" s="700"/>
      <c r="H2" s="700"/>
      <c r="I2" s="700"/>
      <c r="J2" s="700"/>
      <c r="K2" s="700"/>
      <c r="L2" s="700"/>
      <c r="M2" s="700"/>
      <c r="N2" s="700"/>
      <c r="O2" s="213"/>
      <c r="P2" s="692" t="s">
        <v>318</v>
      </c>
      <c r="Q2" s="692"/>
      <c r="R2" s="692"/>
      <c r="S2" s="692"/>
      <c r="T2" s="692"/>
      <c r="U2" s="213"/>
    </row>
    <row r="3" spans="1:21" ht="16.5" customHeight="1">
      <c r="A3" s="720" t="s">
        <v>319</v>
      </c>
      <c r="B3" s="720"/>
      <c r="C3" s="720"/>
      <c r="D3" s="705" t="s">
        <v>320</v>
      </c>
      <c r="E3" s="705"/>
      <c r="F3" s="705"/>
      <c r="G3" s="705"/>
      <c r="H3" s="705"/>
      <c r="I3" s="705"/>
      <c r="J3" s="705"/>
      <c r="K3" s="705"/>
      <c r="L3" s="705"/>
      <c r="M3" s="705"/>
      <c r="N3" s="705"/>
      <c r="O3" s="213"/>
      <c r="P3" s="173" t="s">
        <v>365</v>
      </c>
      <c r="Q3" s="213"/>
      <c r="R3" s="213"/>
      <c r="S3" s="213"/>
      <c r="T3" s="213"/>
      <c r="U3" s="213"/>
    </row>
    <row r="4" spans="1:21" ht="16.5" customHeight="1">
      <c r="A4" s="706" t="s">
        <v>259</v>
      </c>
      <c r="B4" s="706"/>
      <c r="C4" s="706"/>
      <c r="D4" s="727"/>
      <c r="E4" s="727"/>
      <c r="F4" s="727"/>
      <c r="G4" s="727"/>
      <c r="H4" s="727"/>
      <c r="I4" s="727"/>
      <c r="J4" s="727"/>
      <c r="K4" s="727"/>
      <c r="L4" s="727"/>
      <c r="M4" s="727"/>
      <c r="N4" s="727"/>
      <c r="O4" s="213"/>
      <c r="P4" s="172" t="s">
        <v>298</v>
      </c>
      <c r="Q4" s="213"/>
      <c r="R4" s="213"/>
      <c r="S4" s="213"/>
      <c r="T4" s="213"/>
      <c r="U4" s="213"/>
    </row>
    <row r="5" spans="12:21" ht="16.5" customHeight="1">
      <c r="L5" s="214"/>
      <c r="M5" s="214"/>
      <c r="N5" s="214"/>
      <c r="O5" s="176"/>
      <c r="P5" s="175" t="s">
        <v>321</v>
      </c>
      <c r="Q5" s="176"/>
      <c r="R5" s="176"/>
      <c r="S5" s="176"/>
      <c r="T5" s="176"/>
      <c r="U5" s="172"/>
    </row>
    <row r="6" spans="1:21" s="217" customFormat="1" ht="15.75" customHeight="1">
      <c r="A6" s="693" t="s">
        <v>57</v>
      </c>
      <c r="B6" s="694"/>
      <c r="C6" s="688" t="s">
        <v>137</v>
      </c>
      <c r="D6" s="702" t="s">
        <v>138</v>
      </c>
      <c r="E6" s="703"/>
      <c r="F6" s="703"/>
      <c r="G6" s="703"/>
      <c r="H6" s="703"/>
      <c r="I6" s="703"/>
      <c r="J6" s="703"/>
      <c r="K6" s="703"/>
      <c r="L6" s="703"/>
      <c r="M6" s="703"/>
      <c r="N6" s="703"/>
      <c r="O6" s="703"/>
      <c r="P6" s="703"/>
      <c r="Q6" s="703"/>
      <c r="R6" s="703"/>
      <c r="S6" s="703"/>
      <c r="T6" s="688" t="s">
        <v>139</v>
      </c>
      <c r="U6" s="216"/>
    </row>
    <row r="7" spans="1:20" s="218" customFormat="1" ht="12.75" customHeight="1">
      <c r="A7" s="695"/>
      <c r="B7" s="696"/>
      <c r="C7" s="688"/>
      <c r="D7" s="724" t="s">
        <v>134</v>
      </c>
      <c r="E7" s="703" t="s">
        <v>7</v>
      </c>
      <c r="F7" s="703"/>
      <c r="G7" s="703"/>
      <c r="H7" s="703"/>
      <c r="I7" s="703"/>
      <c r="J7" s="703"/>
      <c r="K7" s="703"/>
      <c r="L7" s="703"/>
      <c r="M7" s="703"/>
      <c r="N7" s="703"/>
      <c r="O7" s="703"/>
      <c r="P7" s="703"/>
      <c r="Q7" s="703"/>
      <c r="R7" s="703"/>
      <c r="S7" s="703"/>
      <c r="T7" s="688"/>
    </row>
    <row r="8" spans="1:21" s="218" customFormat="1" ht="43.5" customHeight="1">
      <c r="A8" s="695"/>
      <c r="B8" s="696"/>
      <c r="C8" s="688"/>
      <c r="D8" s="725"/>
      <c r="E8" s="691" t="s">
        <v>140</v>
      </c>
      <c r="F8" s="688"/>
      <c r="G8" s="688"/>
      <c r="H8" s="688" t="s">
        <v>141</v>
      </c>
      <c r="I8" s="688"/>
      <c r="J8" s="688"/>
      <c r="K8" s="688" t="s">
        <v>142</v>
      </c>
      <c r="L8" s="688"/>
      <c r="M8" s="688" t="s">
        <v>143</v>
      </c>
      <c r="N8" s="688"/>
      <c r="O8" s="688"/>
      <c r="P8" s="688" t="s">
        <v>144</v>
      </c>
      <c r="Q8" s="688" t="s">
        <v>145</v>
      </c>
      <c r="R8" s="688" t="s">
        <v>146</v>
      </c>
      <c r="S8" s="707" t="s">
        <v>147</v>
      </c>
      <c r="T8" s="688"/>
      <c r="U8" s="717" t="s">
        <v>322</v>
      </c>
    </row>
    <row r="9" spans="1:21" s="218" customFormat="1" ht="44.25" customHeight="1">
      <c r="A9" s="697"/>
      <c r="B9" s="698"/>
      <c r="C9" s="688"/>
      <c r="D9" s="726"/>
      <c r="E9" s="219" t="s">
        <v>148</v>
      </c>
      <c r="F9" s="215" t="s">
        <v>149</v>
      </c>
      <c r="G9" s="215" t="s">
        <v>323</v>
      </c>
      <c r="H9" s="215" t="s">
        <v>150</v>
      </c>
      <c r="I9" s="215" t="s">
        <v>151</v>
      </c>
      <c r="J9" s="215" t="s">
        <v>152</v>
      </c>
      <c r="K9" s="215" t="s">
        <v>149</v>
      </c>
      <c r="L9" s="215" t="s">
        <v>153</v>
      </c>
      <c r="M9" s="215" t="s">
        <v>154</v>
      </c>
      <c r="N9" s="215" t="s">
        <v>155</v>
      </c>
      <c r="O9" s="215" t="s">
        <v>324</v>
      </c>
      <c r="P9" s="688"/>
      <c r="Q9" s="688"/>
      <c r="R9" s="688"/>
      <c r="S9" s="707"/>
      <c r="T9" s="688"/>
      <c r="U9" s="718"/>
    </row>
    <row r="10" spans="1:21" s="222" customFormat="1" ht="15.75" customHeight="1">
      <c r="A10" s="721" t="s">
        <v>6</v>
      </c>
      <c r="B10" s="722"/>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18"/>
    </row>
    <row r="11" spans="1:21" s="222" customFormat="1" ht="15.75" customHeight="1">
      <c r="A11" s="689" t="s">
        <v>302</v>
      </c>
      <c r="B11" s="690"/>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19"/>
    </row>
    <row r="12" spans="1:21" s="222" customFormat="1" ht="15.75" customHeight="1">
      <c r="A12" s="708" t="s">
        <v>303</v>
      </c>
      <c r="B12" s="709"/>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14" t="s">
        <v>30</v>
      </c>
      <c r="B13" s="715"/>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272</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304</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275</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276</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277</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278</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283</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285</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286</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287</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289</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23" t="s">
        <v>290</v>
      </c>
      <c r="C28" s="723"/>
      <c r="D28" s="723"/>
      <c r="E28" s="723"/>
      <c r="F28" s="181"/>
      <c r="G28" s="181"/>
      <c r="H28" s="181"/>
      <c r="I28" s="181"/>
      <c r="J28" s="181"/>
      <c r="K28" s="181" t="s">
        <v>156</v>
      </c>
      <c r="L28" s="182"/>
      <c r="M28" s="728" t="s">
        <v>325</v>
      </c>
      <c r="N28" s="728"/>
      <c r="O28" s="728"/>
      <c r="P28" s="728"/>
      <c r="Q28" s="728"/>
      <c r="R28" s="728"/>
      <c r="S28" s="728"/>
      <c r="T28" s="728"/>
    </row>
    <row r="29" spans="1:20" s="233" customFormat="1" ht="18.75" customHeight="1">
      <c r="A29" s="232"/>
      <c r="B29" s="713" t="s">
        <v>157</v>
      </c>
      <c r="C29" s="713"/>
      <c r="D29" s="713"/>
      <c r="E29" s="234"/>
      <c r="F29" s="183"/>
      <c r="G29" s="183"/>
      <c r="H29" s="183"/>
      <c r="I29" s="183"/>
      <c r="J29" s="183"/>
      <c r="K29" s="183"/>
      <c r="L29" s="182"/>
      <c r="M29" s="716" t="s">
        <v>314</v>
      </c>
      <c r="N29" s="716"/>
      <c r="O29" s="716"/>
      <c r="P29" s="716"/>
      <c r="Q29" s="716"/>
      <c r="R29" s="716"/>
      <c r="S29" s="716"/>
      <c r="T29" s="716"/>
    </row>
    <row r="30" spans="1:20" s="233" customFormat="1" ht="18.75">
      <c r="A30" s="184"/>
      <c r="B30" s="710"/>
      <c r="C30" s="710"/>
      <c r="D30" s="710"/>
      <c r="E30" s="186"/>
      <c r="F30" s="186"/>
      <c r="G30" s="186"/>
      <c r="H30" s="186"/>
      <c r="I30" s="186"/>
      <c r="J30" s="186"/>
      <c r="K30" s="186"/>
      <c r="L30" s="186"/>
      <c r="M30" s="711"/>
      <c r="N30" s="711"/>
      <c r="O30" s="711"/>
      <c r="P30" s="711"/>
      <c r="Q30" s="711"/>
      <c r="R30" s="711"/>
      <c r="S30" s="711"/>
      <c r="T30" s="711"/>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159</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160</v>
      </c>
      <c r="C34" s="186"/>
      <c r="D34" s="186"/>
      <c r="E34" s="186"/>
      <c r="F34" s="186"/>
      <c r="G34" s="186"/>
      <c r="H34" s="186"/>
      <c r="I34" s="186"/>
      <c r="J34" s="186"/>
      <c r="K34" s="186"/>
      <c r="L34" s="186"/>
      <c r="M34" s="186"/>
      <c r="N34" s="186"/>
      <c r="O34" s="186"/>
      <c r="P34" s="186"/>
      <c r="Q34" s="186"/>
      <c r="R34" s="186"/>
      <c r="S34" s="186"/>
      <c r="T34" s="186"/>
    </row>
    <row r="35" spans="2:20" ht="18.75" hidden="1">
      <c r="B35" s="236" t="s">
        <v>161</v>
      </c>
      <c r="C35" s="186"/>
      <c r="D35" s="186"/>
      <c r="E35" s="186"/>
      <c r="F35" s="186"/>
      <c r="G35" s="186"/>
      <c r="H35" s="186"/>
      <c r="I35" s="186"/>
      <c r="J35" s="186"/>
      <c r="K35" s="186"/>
      <c r="L35" s="186"/>
      <c r="M35" s="186"/>
      <c r="N35" s="186"/>
      <c r="O35" s="186"/>
      <c r="P35" s="186"/>
      <c r="Q35" s="186"/>
      <c r="R35" s="186"/>
      <c r="S35" s="186"/>
      <c r="T35" s="186"/>
    </row>
    <row r="36" spans="2:20" s="211" customFormat="1" ht="18.75">
      <c r="B36" s="712" t="s">
        <v>294</v>
      </c>
      <c r="C36" s="712"/>
      <c r="D36" s="712"/>
      <c r="E36" s="236"/>
      <c r="F36" s="236"/>
      <c r="G36" s="236"/>
      <c r="H36" s="236"/>
      <c r="I36" s="236"/>
      <c r="J36" s="236"/>
      <c r="K36" s="236"/>
      <c r="L36" s="236"/>
      <c r="M36" s="236"/>
      <c r="N36" s="712" t="s">
        <v>294</v>
      </c>
      <c r="O36" s="712"/>
      <c r="P36" s="712"/>
      <c r="Q36" s="712"/>
      <c r="R36" s="712"/>
      <c r="S36" s="712"/>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08" t="s">
        <v>247</v>
      </c>
      <c r="C38" s="608"/>
      <c r="D38" s="608"/>
      <c r="E38" s="210"/>
      <c r="F38" s="210"/>
      <c r="G38" s="210"/>
      <c r="H38" s="210"/>
      <c r="I38" s="182"/>
      <c r="J38" s="182"/>
      <c r="K38" s="182"/>
      <c r="L38" s="182"/>
      <c r="M38" s="609" t="s">
        <v>248</v>
      </c>
      <c r="N38" s="609"/>
      <c r="O38" s="609"/>
      <c r="P38" s="609"/>
      <c r="Q38" s="609"/>
      <c r="R38" s="609"/>
      <c r="S38" s="609"/>
      <c r="T38" s="609"/>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46" t="s">
        <v>162</v>
      </c>
      <c r="B1" s="746"/>
      <c r="C1" s="746"/>
      <c r="D1" s="238"/>
      <c r="E1" s="735" t="s">
        <v>163</v>
      </c>
      <c r="F1" s="735"/>
      <c r="G1" s="735"/>
      <c r="H1" s="735"/>
      <c r="I1" s="735"/>
      <c r="J1" s="735"/>
      <c r="K1" s="735"/>
      <c r="L1" s="735"/>
      <c r="M1" s="735"/>
      <c r="N1" s="735"/>
      <c r="O1" s="191"/>
      <c r="P1" s="751" t="s">
        <v>364</v>
      </c>
      <c r="Q1" s="751"/>
      <c r="R1" s="751"/>
      <c r="S1" s="751"/>
      <c r="T1" s="751"/>
    </row>
    <row r="2" spans="1:20" ht="15.75" customHeight="1">
      <c r="A2" s="747" t="s">
        <v>326</v>
      </c>
      <c r="B2" s="747"/>
      <c r="C2" s="747"/>
      <c r="D2" s="747"/>
      <c r="E2" s="749" t="s">
        <v>164</v>
      </c>
      <c r="F2" s="749"/>
      <c r="G2" s="749"/>
      <c r="H2" s="749"/>
      <c r="I2" s="749"/>
      <c r="J2" s="749"/>
      <c r="K2" s="749"/>
      <c r="L2" s="749"/>
      <c r="M2" s="749"/>
      <c r="N2" s="749"/>
      <c r="O2" s="194"/>
      <c r="P2" s="733" t="s">
        <v>306</v>
      </c>
      <c r="Q2" s="733"/>
      <c r="R2" s="733"/>
      <c r="S2" s="733"/>
      <c r="T2" s="733"/>
    </row>
    <row r="3" spans="1:20" ht="17.25">
      <c r="A3" s="747" t="s">
        <v>257</v>
      </c>
      <c r="B3" s="747"/>
      <c r="C3" s="747"/>
      <c r="D3" s="239"/>
      <c r="E3" s="736" t="s">
        <v>258</v>
      </c>
      <c r="F3" s="736"/>
      <c r="G3" s="736"/>
      <c r="H3" s="736"/>
      <c r="I3" s="736"/>
      <c r="J3" s="736"/>
      <c r="K3" s="736"/>
      <c r="L3" s="736"/>
      <c r="M3" s="736"/>
      <c r="N3" s="736"/>
      <c r="O3" s="194"/>
      <c r="P3" s="734" t="s">
        <v>365</v>
      </c>
      <c r="Q3" s="734"/>
      <c r="R3" s="734"/>
      <c r="S3" s="734"/>
      <c r="T3" s="734"/>
    </row>
    <row r="4" spans="1:20" ht="18.75" customHeight="1">
      <c r="A4" s="748" t="s">
        <v>259</v>
      </c>
      <c r="B4" s="748"/>
      <c r="C4" s="748"/>
      <c r="D4" s="750"/>
      <c r="E4" s="750"/>
      <c r="F4" s="750"/>
      <c r="G4" s="750"/>
      <c r="H4" s="750"/>
      <c r="I4" s="750"/>
      <c r="J4" s="750"/>
      <c r="K4" s="750"/>
      <c r="L4" s="750"/>
      <c r="M4" s="750"/>
      <c r="N4" s="750"/>
      <c r="O4" s="195"/>
      <c r="P4" s="733" t="s">
        <v>298</v>
      </c>
      <c r="Q4" s="734"/>
      <c r="R4" s="734"/>
      <c r="S4" s="734"/>
      <c r="T4" s="734"/>
    </row>
    <row r="5" spans="1:23" ht="15">
      <c r="A5" s="208"/>
      <c r="B5" s="208"/>
      <c r="C5" s="240"/>
      <c r="D5" s="240"/>
      <c r="E5" s="208"/>
      <c r="F5" s="208"/>
      <c r="G5" s="208"/>
      <c r="H5" s="208"/>
      <c r="I5" s="208"/>
      <c r="J5" s="208"/>
      <c r="K5" s="208"/>
      <c r="L5" s="208"/>
      <c r="P5" s="752" t="s">
        <v>321</v>
      </c>
      <c r="Q5" s="752"/>
      <c r="R5" s="752"/>
      <c r="S5" s="752"/>
      <c r="T5" s="752"/>
      <c r="U5" s="241"/>
      <c r="V5" s="241"/>
      <c r="W5" s="241"/>
    </row>
    <row r="6" spans="1:23" ht="29.25" customHeight="1">
      <c r="A6" s="693" t="s">
        <v>57</v>
      </c>
      <c r="B6" s="769"/>
      <c r="C6" s="764" t="s">
        <v>2</v>
      </c>
      <c r="D6" s="753" t="s">
        <v>165</v>
      </c>
      <c r="E6" s="744"/>
      <c r="F6" s="744"/>
      <c r="G6" s="744"/>
      <c r="H6" s="744"/>
      <c r="I6" s="744"/>
      <c r="J6" s="745"/>
      <c r="K6" s="737" t="s">
        <v>166</v>
      </c>
      <c r="L6" s="738"/>
      <c r="M6" s="738"/>
      <c r="N6" s="738"/>
      <c r="O6" s="738"/>
      <c r="P6" s="738"/>
      <c r="Q6" s="738"/>
      <c r="R6" s="738"/>
      <c r="S6" s="738"/>
      <c r="T6" s="739"/>
      <c r="U6" s="242"/>
      <c r="V6" s="243"/>
      <c r="W6" s="243"/>
    </row>
    <row r="7" spans="1:20" ht="19.5" customHeight="1">
      <c r="A7" s="695"/>
      <c r="B7" s="770"/>
      <c r="C7" s="765"/>
      <c r="D7" s="744" t="s">
        <v>7</v>
      </c>
      <c r="E7" s="744"/>
      <c r="F7" s="744"/>
      <c r="G7" s="744"/>
      <c r="H7" s="744"/>
      <c r="I7" s="744"/>
      <c r="J7" s="745"/>
      <c r="K7" s="740"/>
      <c r="L7" s="741"/>
      <c r="M7" s="741"/>
      <c r="N7" s="741"/>
      <c r="O7" s="741"/>
      <c r="P7" s="741"/>
      <c r="Q7" s="741"/>
      <c r="R7" s="741"/>
      <c r="S7" s="741"/>
      <c r="T7" s="742"/>
    </row>
    <row r="8" spans="1:20" ht="33" customHeight="1">
      <c r="A8" s="695"/>
      <c r="B8" s="770"/>
      <c r="C8" s="765"/>
      <c r="D8" s="743" t="s">
        <v>167</v>
      </c>
      <c r="E8" s="730"/>
      <c r="F8" s="729" t="s">
        <v>168</v>
      </c>
      <c r="G8" s="730"/>
      <c r="H8" s="729" t="s">
        <v>169</v>
      </c>
      <c r="I8" s="730"/>
      <c r="J8" s="729" t="s">
        <v>170</v>
      </c>
      <c r="K8" s="732" t="s">
        <v>171</v>
      </c>
      <c r="L8" s="732"/>
      <c r="M8" s="732"/>
      <c r="N8" s="732" t="s">
        <v>172</v>
      </c>
      <c r="O8" s="732"/>
      <c r="P8" s="732"/>
      <c r="Q8" s="729" t="s">
        <v>173</v>
      </c>
      <c r="R8" s="731" t="s">
        <v>174</v>
      </c>
      <c r="S8" s="731" t="s">
        <v>175</v>
      </c>
      <c r="T8" s="729" t="s">
        <v>176</v>
      </c>
    </row>
    <row r="9" spans="1:20" ht="18.75" customHeight="1">
      <c r="A9" s="695"/>
      <c r="B9" s="770"/>
      <c r="C9" s="765"/>
      <c r="D9" s="743" t="s">
        <v>177</v>
      </c>
      <c r="E9" s="729" t="s">
        <v>178</v>
      </c>
      <c r="F9" s="729" t="s">
        <v>177</v>
      </c>
      <c r="G9" s="729" t="s">
        <v>178</v>
      </c>
      <c r="H9" s="729" t="s">
        <v>177</v>
      </c>
      <c r="I9" s="729" t="s">
        <v>179</v>
      </c>
      <c r="J9" s="729"/>
      <c r="K9" s="732"/>
      <c r="L9" s="732"/>
      <c r="M9" s="732"/>
      <c r="N9" s="732"/>
      <c r="O9" s="732"/>
      <c r="P9" s="732"/>
      <c r="Q9" s="729"/>
      <c r="R9" s="731"/>
      <c r="S9" s="731"/>
      <c r="T9" s="729"/>
    </row>
    <row r="10" spans="1:20" ht="23.25" customHeight="1">
      <c r="A10" s="697"/>
      <c r="B10" s="771"/>
      <c r="C10" s="766"/>
      <c r="D10" s="743"/>
      <c r="E10" s="729"/>
      <c r="F10" s="729"/>
      <c r="G10" s="729"/>
      <c r="H10" s="729"/>
      <c r="I10" s="729"/>
      <c r="J10" s="729"/>
      <c r="K10" s="244" t="s">
        <v>180</v>
      </c>
      <c r="L10" s="244" t="s">
        <v>155</v>
      </c>
      <c r="M10" s="244" t="s">
        <v>181</v>
      </c>
      <c r="N10" s="244" t="s">
        <v>180</v>
      </c>
      <c r="O10" s="244" t="s">
        <v>182</v>
      </c>
      <c r="P10" s="244" t="s">
        <v>183</v>
      </c>
      <c r="Q10" s="729"/>
      <c r="R10" s="731"/>
      <c r="S10" s="731"/>
      <c r="T10" s="729"/>
    </row>
    <row r="11" spans="1:32" s="201" customFormat="1" ht="17.25" customHeight="1">
      <c r="A11" s="767" t="s">
        <v>6</v>
      </c>
      <c r="B11" s="768"/>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57" t="s">
        <v>327</v>
      </c>
      <c r="B12" s="758"/>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60" t="s">
        <v>303</v>
      </c>
      <c r="B13" s="761"/>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63" t="s">
        <v>184</v>
      </c>
      <c r="B14" s="743"/>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272</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304</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275</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276</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277</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278</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283</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285</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286</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287</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289</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291</v>
      </c>
      <c r="AI28" s="190">
        <f>82/88</f>
        <v>0.9318181818181818</v>
      </c>
    </row>
    <row r="29" spans="1:20" ht="15.75" customHeight="1">
      <c r="A29" s="202"/>
      <c r="B29" s="755" t="s">
        <v>315</v>
      </c>
      <c r="C29" s="755"/>
      <c r="D29" s="755"/>
      <c r="E29" s="755"/>
      <c r="F29" s="258"/>
      <c r="G29" s="258"/>
      <c r="H29" s="258"/>
      <c r="I29" s="258"/>
      <c r="J29" s="258"/>
      <c r="K29" s="258"/>
      <c r="L29" s="206"/>
      <c r="M29" s="754" t="s">
        <v>328</v>
      </c>
      <c r="N29" s="754"/>
      <c r="O29" s="754"/>
      <c r="P29" s="754"/>
      <c r="Q29" s="754"/>
      <c r="R29" s="754"/>
      <c r="S29" s="754"/>
      <c r="T29" s="754"/>
    </row>
    <row r="30" spans="1:20" ht="18.75" customHeight="1">
      <c r="A30" s="202"/>
      <c r="B30" s="756" t="s">
        <v>157</v>
      </c>
      <c r="C30" s="756"/>
      <c r="D30" s="756"/>
      <c r="E30" s="756"/>
      <c r="F30" s="205"/>
      <c r="G30" s="205"/>
      <c r="H30" s="205"/>
      <c r="I30" s="205"/>
      <c r="J30" s="205"/>
      <c r="K30" s="205"/>
      <c r="L30" s="206"/>
      <c r="M30" s="759" t="s">
        <v>158</v>
      </c>
      <c r="N30" s="759"/>
      <c r="O30" s="759"/>
      <c r="P30" s="759"/>
      <c r="Q30" s="759"/>
      <c r="R30" s="759"/>
      <c r="S30" s="759"/>
      <c r="T30" s="759"/>
    </row>
    <row r="31" spans="1:20" ht="18.75">
      <c r="A31" s="208"/>
      <c r="B31" s="710"/>
      <c r="C31" s="710"/>
      <c r="D31" s="710"/>
      <c r="E31" s="710"/>
      <c r="F31" s="209"/>
      <c r="G31" s="209"/>
      <c r="H31" s="209"/>
      <c r="I31" s="209"/>
      <c r="J31" s="209"/>
      <c r="K31" s="209"/>
      <c r="L31" s="209"/>
      <c r="M31" s="711"/>
      <c r="N31" s="711"/>
      <c r="O31" s="711"/>
      <c r="P31" s="711"/>
      <c r="Q31" s="711"/>
      <c r="R31" s="711"/>
      <c r="S31" s="711"/>
      <c r="T31" s="711"/>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62" t="s">
        <v>294</v>
      </c>
      <c r="C33" s="762"/>
      <c r="D33" s="762"/>
      <c r="E33" s="762"/>
      <c r="F33" s="762"/>
      <c r="G33" s="259"/>
      <c r="H33" s="259"/>
      <c r="I33" s="259"/>
      <c r="J33" s="259"/>
      <c r="K33" s="259"/>
      <c r="L33" s="259"/>
      <c r="M33" s="259"/>
      <c r="N33" s="762" t="s">
        <v>294</v>
      </c>
      <c r="O33" s="762"/>
      <c r="P33" s="762"/>
      <c r="Q33" s="762"/>
      <c r="R33" s="762"/>
      <c r="S33" s="762"/>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08" t="s">
        <v>247</v>
      </c>
      <c r="C35" s="608"/>
      <c r="D35" s="608"/>
      <c r="E35" s="608"/>
      <c r="F35" s="210"/>
      <c r="G35" s="210"/>
      <c r="H35" s="210"/>
      <c r="I35" s="182"/>
      <c r="J35" s="182"/>
      <c r="K35" s="182"/>
      <c r="L35" s="182"/>
      <c r="M35" s="609" t="s">
        <v>248</v>
      </c>
      <c r="N35" s="609"/>
      <c r="O35" s="609"/>
      <c r="P35" s="609"/>
      <c r="Q35" s="609"/>
      <c r="R35" s="609"/>
      <c r="S35" s="609"/>
      <c r="T35" s="609"/>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133</v>
      </c>
    </row>
    <row r="39" spans="2:8" s="262" customFormat="1" ht="15" hidden="1">
      <c r="B39" s="263" t="s">
        <v>185</v>
      </c>
      <c r="C39" s="263"/>
      <c r="D39" s="263"/>
      <c r="E39" s="263"/>
      <c r="F39" s="263"/>
      <c r="G39" s="263"/>
      <c r="H39" s="263"/>
    </row>
    <row r="40" spans="2:8" s="264" customFormat="1" ht="15" hidden="1">
      <c r="B40" s="263" t="s">
        <v>186</v>
      </c>
      <c r="C40" s="189"/>
      <c r="D40" s="189"/>
      <c r="E40" s="189"/>
      <c r="F40" s="189"/>
      <c r="G40" s="189"/>
      <c r="H40" s="189"/>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78" t="s">
        <v>187</v>
      </c>
      <c r="B1" s="778"/>
      <c r="C1" s="778"/>
      <c r="D1" s="781" t="s">
        <v>367</v>
      </c>
      <c r="E1" s="781"/>
      <c r="F1" s="781"/>
      <c r="G1" s="781"/>
      <c r="H1" s="781"/>
      <c r="I1" s="781"/>
      <c r="J1" s="782" t="s">
        <v>368</v>
      </c>
      <c r="K1" s="783"/>
      <c r="L1" s="783"/>
    </row>
    <row r="2" spans="1:12" ht="34.5" customHeight="1">
      <c r="A2" s="784" t="s">
        <v>329</v>
      </c>
      <c r="B2" s="784"/>
      <c r="C2" s="784"/>
      <c r="D2" s="781"/>
      <c r="E2" s="781"/>
      <c r="F2" s="781"/>
      <c r="G2" s="781"/>
      <c r="H2" s="781"/>
      <c r="I2" s="781"/>
      <c r="J2" s="785" t="s">
        <v>369</v>
      </c>
      <c r="K2" s="786"/>
      <c r="L2" s="786"/>
    </row>
    <row r="3" spans="1:12" ht="15" customHeight="1">
      <c r="A3" s="265" t="s">
        <v>259</v>
      </c>
      <c r="B3" s="174"/>
      <c r="C3" s="787"/>
      <c r="D3" s="787"/>
      <c r="E3" s="787"/>
      <c r="F3" s="787"/>
      <c r="G3" s="787"/>
      <c r="H3" s="787"/>
      <c r="I3" s="787"/>
      <c r="J3" s="779"/>
      <c r="K3" s="780"/>
      <c r="L3" s="780"/>
    </row>
    <row r="4" spans="1:12" ht="15.75" customHeight="1">
      <c r="A4" s="266"/>
      <c r="B4" s="266"/>
      <c r="C4" s="267"/>
      <c r="D4" s="267"/>
      <c r="E4" s="170"/>
      <c r="F4" s="170"/>
      <c r="G4" s="170"/>
      <c r="H4" s="268"/>
      <c r="I4" s="268"/>
      <c r="J4" s="788" t="s">
        <v>188</v>
      </c>
      <c r="K4" s="788"/>
      <c r="L4" s="788"/>
    </row>
    <row r="5" spans="1:12" s="269" customFormat="1" ht="28.5" customHeight="1">
      <c r="A5" s="773" t="s">
        <v>57</v>
      </c>
      <c r="B5" s="773"/>
      <c r="C5" s="688" t="s">
        <v>31</v>
      </c>
      <c r="D5" s="688" t="s">
        <v>189</v>
      </c>
      <c r="E5" s="688"/>
      <c r="F5" s="688"/>
      <c r="G5" s="688"/>
      <c r="H5" s="688" t="s">
        <v>190</v>
      </c>
      <c r="I5" s="688"/>
      <c r="J5" s="688" t="s">
        <v>191</v>
      </c>
      <c r="K5" s="688"/>
      <c r="L5" s="688"/>
    </row>
    <row r="6" spans="1:13" s="269" customFormat="1" ht="80.25" customHeight="1">
      <c r="A6" s="773"/>
      <c r="B6" s="773"/>
      <c r="C6" s="688"/>
      <c r="D6" s="215" t="s">
        <v>192</v>
      </c>
      <c r="E6" s="215" t="s">
        <v>193</v>
      </c>
      <c r="F6" s="215" t="s">
        <v>330</v>
      </c>
      <c r="G6" s="215" t="s">
        <v>194</v>
      </c>
      <c r="H6" s="215" t="s">
        <v>195</v>
      </c>
      <c r="I6" s="215" t="s">
        <v>196</v>
      </c>
      <c r="J6" s="215" t="s">
        <v>197</v>
      </c>
      <c r="K6" s="215" t="s">
        <v>198</v>
      </c>
      <c r="L6" s="215" t="s">
        <v>199</v>
      </c>
      <c r="M6" s="270"/>
    </row>
    <row r="7" spans="1:12" s="271" customFormat="1" ht="16.5" customHeight="1">
      <c r="A7" s="789" t="s">
        <v>6</v>
      </c>
      <c r="B7" s="789"/>
      <c r="C7" s="221">
        <v>1</v>
      </c>
      <c r="D7" s="221">
        <v>2</v>
      </c>
      <c r="E7" s="221">
        <v>3</v>
      </c>
      <c r="F7" s="221">
        <v>4</v>
      </c>
      <c r="G7" s="221">
        <v>5</v>
      </c>
      <c r="H7" s="221">
        <v>6</v>
      </c>
      <c r="I7" s="221">
        <v>7</v>
      </c>
      <c r="J7" s="221">
        <v>8</v>
      </c>
      <c r="K7" s="221">
        <v>9</v>
      </c>
      <c r="L7" s="221">
        <v>10</v>
      </c>
    </row>
    <row r="8" spans="1:12" s="271" customFormat="1" ht="16.5" customHeight="1">
      <c r="A8" s="776" t="s">
        <v>327</v>
      </c>
      <c r="B8" s="777"/>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74" t="s">
        <v>303</v>
      </c>
      <c r="B9" s="775"/>
      <c r="C9" s="224">
        <v>9</v>
      </c>
      <c r="D9" s="224">
        <v>2</v>
      </c>
      <c r="E9" s="224">
        <v>2</v>
      </c>
      <c r="F9" s="224">
        <v>0</v>
      </c>
      <c r="G9" s="224">
        <v>5</v>
      </c>
      <c r="H9" s="224">
        <v>8</v>
      </c>
      <c r="I9" s="224">
        <v>0</v>
      </c>
      <c r="J9" s="224">
        <v>8</v>
      </c>
      <c r="K9" s="224">
        <v>1</v>
      </c>
      <c r="L9" s="224">
        <v>0</v>
      </c>
    </row>
    <row r="10" spans="1:12" s="271" customFormat="1" ht="16.5" customHeight="1">
      <c r="A10" s="790" t="s">
        <v>184</v>
      </c>
      <c r="B10" s="790"/>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200</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272</v>
      </c>
      <c r="C13" s="272">
        <f aca="true" t="shared" si="3" ref="C13:C23">D13+E13+F13+G13</f>
        <v>0</v>
      </c>
      <c r="D13" s="231">
        <v>0</v>
      </c>
      <c r="E13" s="231">
        <v>0</v>
      </c>
      <c r="F13" s="231">
        <v>0</v>
      </c>
      <c r="G13" s="231">
        <v>0</v>
      </c>
      <c r="H13" s="231">
        <v>0</v>
      </c>
      <c r="I13" s="231">
        <v>0</v>
      </c>
      <c r="J13" s="273">
        <v>0</v>
      </c>
      <c r="K13" s="273">
        <v>0</v>
      </c>
      <c r="L13" s="273">
        <v>0</v>
      </c>
      <c r="AF13" s="271" t="s">
        <v>271</v>
      </c>
    </row>
    <row r="14" spans="1:37" s="271" customFormat="1" ht="16.5" customHeight="1">
      <c r="A14" s="274">
        <v>2</v>
      </c>
      <c r="B14" s="68" t="s">
        <v>304</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275</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276</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331</v>
      </c>
      <c r="C17" s="272">
        <f t="shared" si="3"/>
        <v>1</v>
      </c>
      <c r="D17" s="231">
        <v>0</v>
      </c>
      <c r="E17" s="231">
        <v>0</v>
      </c>
      <c r="F17" s="231">
        <v>0</v>
      </c>
      <c r="G17" s="231">
        <v>1</v>
      </c>
      <c r="H17" s="231">
        <v>1</v>
      </c>
      <c r="I17" s="231">
        <v>0</v>
      </c>
      <c r="J17" s="273">
        <v>1</v>
      </c>
      <c r="K17" s="273">
        <v>0</v>
      </c>
      <c r="L17" s="273">
        <v>0</v>
      </c>
      <c r="AF17" s="199" t="s">
        <v>274</v>
      </c>
    </row>
    <row r="18" spans="1:12" s="271" customFormat="1" ht="16.5" customHeight="1">
      <c r="A18" s="274">
        <v>6</v>
      </c>
      <c r="B18" s="68" t="s">
        <v>278</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283</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285</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286</v>
      </c>
      <c r="C21" s="272">
        <f t="shared" si="3"/>
        <v>0</v>
      </c>
      <c r="D21" s="231">
        <v>0</v>
      </c>
      <c r="E21" s="231">
        <v>0</v>
      </c>
      <c r="F21" s="231">
        <v>0</v>
      </c>
      <c r="G21" s="231">
        <v>0</v>
      </c>
      <c r="H21" s="231">
        <v>0</v>
      </c>
      <c r="I21" s="231">
        <v>0</v>
      </c>
      <c r="J21" s="273">
        <v>0</v>
      </c>
      <c r="K21" s="273">
        <v>0</v>
      </c>
      <c r="L21" s="273">
        <v>0</v>
      </c>
      <c r="AJ21" s="271" t="s">
        <v>279</v>
      </c>
      <c r="AK21" s="271" t="s">
        <v>280</v>
      </c>
      <c r="AL21" s="271" t="s">
        <v>281</v>
      </c>
      <c r="AM21" s="199" t="s">
        <v>282</v>
      </c>
    </row>
    <row r="22" spans="1:39" s="271" customFormat="1" ht="16.5" customHeight="1">
      <c r="A22" s="274">
        <v>10</v>
      </c>
      <c r="B22" s="68" t="s">
        <v>287</v>
      </c>
      <c r="C22" s="272">
        <f t="shared" si="3"/>
        <v>1</v>
      </c>
      <c r="D22" s="231">
        <v>0</v>
      </c>
      <c r="E22" s="231">
        <v>1</v>
      </c>
      <c r="F22" s="231">
        <v>0</v>
      </c>
      <c r="G22" s="231">
        <v>0</v>
      </c>
      <c r="H22" s="231">
        <v>1</v>
      </c>
      <c r="I22" s="231">
        <v>0</v>
      </c>
      <c r="J22" s="273">
        <v>1</v>
      </c>
      <c r="K22" s="273">
        <v>0</v>
      </c>
      <c r="L22" s="273">
        <v>0</v>
      </c>
      <c r="AM22" s="199" t="s">
        <v>284</v>
      </c>
    </row>
    <row r="23" spans="1:12" s="271" customFormat="1" ht="16.5" customHeight="1">
      <c r="A23" s="274">
        <v>11</v>
      </c>
      <c r="B23" s="68" t="s">
        <v>289</v>
      </c>
      <c r="C23" s="272">
        <f t="shared" si="3"/>
        <v>0</v>
      </c>
      <c r="D23" s="231">
        <v>0</v>
      </c>
      <c r="E23" s="231">
        <v>0</v>
      </c>
      <c r="F23" s="231">
        <v>0</v>
      </c>
      <c r="G23" s="231">
        <v>0</v>
      </c>
      <c r="H23" s="231">
        <v>0</v>
      </c>
      <c r="I23" s="231">
        <v>0</v>
      </c>
      <c r="J23" s="273">
        <v>0</v>
      </c>
      <c r="K23" s="273">
        <v>0</v>
      </c>
      <c r="L23" s="273">
        <v>0</v>
      </c>
    </row>
    <row r="24" ht="9" customHeight="1">
      <c r="AJ24" s="233" t="s">
        <v>279</v>
      </c>
    </row>
    <row r="25" spans="1:36" ht="15.75" customHeight="1">
      <c r="A25" s="723" t="s">
        <v>332</v>
      </c>
      <c r="B25" s="723"/>
      <c r="C25" s="723"/>
      <c r="D25" s="723"/>
      <c r="E25" s="182"/>
      <c r="F25" s="728" t="s">
        <v>290</v>
      </c>
      <c r="G25" s="728"/>
      <c r="H25" s="728"/>
      <c r="I25" s="728"/>
      <c r="J25" s="728"/>
      <c r="K25" s="728"/>
      <c r="L25" s="728"/>
      <c r="AJ25" s="190" t="s">
        <v>288</v>
      </c>
    </row>
    <row r="26" spans="1:44" ht="15" customHeight="1">
      <c r="A26" s="713" t="s">
        <v>157</v>
      </c>
      <c r="B26" s="713"/>
      <c r="C26" s="713"/>
      <c r="D26" s="713"/>
      <c r="E26" s="183"/>
      <c r="F26" s="716" t="s">
        <v>158</v>
      </c>
      <c r="G26" s="716"/>
      <c r="H26" s="716"/>
      <c r="I26" s="716"/>
      <c r="J26" s="716"/>
      <c r="K26" s="716"/>
      <c r="L26" s="716"/>
      <c r="AR26" s="190"/>
    </row>
    <row r="27" spans="1:12" s="170" customFormat="1" ht="18.75">
      <c r="A27" s="710"/>
      <c r="B27" s="710"/>
      <c r="C27" s="710"/>
      <c r="D27" s="710"/>
      <c r="E27" s="182"/>
      <c r="F27" s="711"/>
      <c r="G27" s="711"/>
      <c r="H27" s="711"/>
      <c r="I27" s="711"/>
      <c r="J27" s="711"/>
      <c r="K27" s="711"/>
      <c r="L27" s="711"/>
    </row>
    <row r="28" spans="1:35" ht="18">
      <c r="A28" s="187"/>
      <c r="B28" s="187"/>
      <c r="C28" s="182"/>
      <c r="D28" s="182"/>
      <c r="E28" s="182"/>
      <c r="F28" s="182"/>
      <c r="G28" s="182"/>
      <c r="H28" s="182"/>
      <c r="I28" s="182"/>
      <c r="J28" s="182"/>
      <c r="K28" s="182"/>
      <c r="L28" s="182"/>
      <c r="AG28" s="233" t="s">
        <v>291</v>
      </c>
      <c r="AI28" s="190">
        <f>82/88</f>
        <v>0.9318181818181818</v>
      </c>
    </row>
    <row r="29" spans="1:12" ht="18">
      <c r="A29" s="187"/>
      <c r="B29" s="772" t="s">
        <v>294</v>
      </c>
      <c r="C29" s="772"/>
      <c r="D29" s="182"/>
      <c r="E29" s="182"/>
      <c r="F29" s="182"/>
      <c r="G29" s="182"/>
      <c r="H29" s="772" t="s">
        <v>294</v>
      </c>
      <c r="I29" s="772"/>
      <c r="J29" s="772"/>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201</v>
      </c>
      <c r="B32" s="185"/>
      <c r="C32" s="186"/>
      <c r="D32" s="186"/>
      <c r="E32" s="186"/>
      <c r="F32" s="186"/>
      <c r="G32" s="186"/>
      <c r="H32" s="186"/>
      <c r="I32" s="186"/>
      <c r="J32" s="186"/>
      <c r="K32" s="186"/>
      <c r="L32" s="186"/>
    </row>
    <row r="33" spans="1:12" s="211" customFormat="1" ht="18.75" hidden="1">
      <c r="A33" s="237"/>
      <c r="B33" s="279" t="s">
        <v>202</v>
      </c>
      <c r="C33" s="279"/>
      <c r="D33" s="279"/>
      <c r="E33" s="236"/>
      <c r="F33" s="236"/>
      <c r="G33" s="236"/>
      <c r="H33" s="236"/>
      <c r="I33" s="236"/>
      <c r="J33" s="236"/>
      <c r="K33" s="236"/>
      <c r="L33" s="236"/>
    </row>
    <row r="34" spans="1:12" s="211" customFormat="1" ht="18.75" hidden="1">
      <c r="A34" s="237"/>
      <c r="B34" s="279" t="s">
        <v>203</v>
      </c>
      <c r="C34" s="279"/>
      <c r="D34" s="279"/>
      <c r="E34" s="279"/>
      <c r="F34" s="236"/>
      <c r="G34" s="236"/>
      <c r="H34" s="236"/>
      <c r="I34" s="236"/>
      <c r="J34" s="236"/>
      <c r="K34" s="236"/>
      <c r="L34" s="236"/>
    </row>
    <row r="35" spans="1:12" s="211" customFormat="1" ht="18.75" hidden="1">
      <c r="A35" s="237"/>
      <c r="B35" s="236" t="s">
        <v>204</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08" t="s">
        <v>247</v>
      </c>
      <c r="B37" s="608"/>
      <c r="C37" s="608"/>
      <c r="D37" s="608"/>
      <c r="E37" s="210"/>
      <c r="F37" s="609" t="s">
        <v>248</v>
      </c>
      <c r="G37" s="609"/>
      <c r="H37" s="609"/>
      <c r="I37" s="609"/>
      <c r="J37" s="609"/>
      <c r="K37" s="609"/>
      <c r="L37" s="609"/>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91" t="s">
        <v>205</v>
      </c>
      <c r="B1" s="791"/>
      <c r="C1" s="791"/>
      <c r="D1" s="781" t="s">
        <v>370</v>
      </c>
      <c r="E1" s="781"/>
      <c r="F1" s="781"/>
      <c r="G1" s="781"/>
      <c r="H1" s="781"/>
      <c r="I1" s="170"/>
      <c r="J1" s="171" t="s">
        <v>364</v>
      </c>
      <c r="K1" s="280"/>
      <c r="L1" s="280"/>
    </row>
    <row r="2" spans="1:12" ht="15.75" customHeight="1">
      <c r="A2" s="795" t="s">
        <v>305</v>
      </c>
      <c r="B2" s="795"/>
      <c r="C2" s="795"/>
      <c r="D2" s="781"/>
      <c r="E2" s="781"/>
      <c r="F2" s="781"/>
      <c r="G2" s="781"/>
      <c r="H2" s="781"/>
      <c r="I2" s="170"/>
      <c r="J2" s="281" t="s">
        <v>306</v>
      </c>
      <c r="K2" s="281"/>
      <c r="L2" s="281"/>
    </row>
    <row r="3" spans="1:12" ht="18.75" customHeight="1">
      <c r="A3" s="701" t="s">
        <v>257</v>
      </c>
      <c r="B3" s="701"/>
      <c r="C3" s="701"/>
      <c r="D3" s="167"/>
      <c r="E3" s="167"/>
      <c r="F3" s="167"/>
      <c r="G3" s="167"/>
      <c r="H3" s="167"/>
      <c r="I3" s="170"/>
      <c r="J3" s="174" t="s">
        <v>363</v>
      </c>
      <c r="K3" s="174"/>
      <c r="L3" s="174"/>
    </row>
    <row r="4" spans="1:12" ht="15.75" customHeight="1">
      <c r="A4" s="792" t="s">
        <v>333</v>
      </c>
      <c r="B4" s="792"/>
      <c r="C4" s="792"/>
      <c r="D4" s="807"/>
      <c r="E4" s="807"/>
      <c r="F4" s="807"/>
      <c r="G4" s="807"/>
      <c r="H4" s="807"/>
      <c r="I4" s="170"/>
      <c r="J4" s="282" t="s">
        <v>298</v>
      </c>
      <c r="K4" s="282"/>
      <c r="L4" s="282"/>
    </row>
    <row r="5" spans="1:12" ht="15.75">
      <c r="A5" s="796"/>
      <c r="B5" s="796"/>
      <c r="C5" s="166"/>
      <c r="D5" s="170"/>
      <c r="E5" s="170"/>
      <c r="F5" s="170"/>
      <c r="G5" s="170"/>
      <c r="H5" s="283"/>
      <c r="I5" s="808" t="s">
        <v>334</v>
      </c>
      <c r="J5" s="808"/>
      <c r="K5" s="808"/>
      <c r="L5" s="808"/>
    </row>
    <row r="6" spans="1:12" ht="18.75" customHeight="1">
      <c r="A6" s="693" t="s">
        <v>57</v>
      </c>
      <c r="B6" s="694"/>
      <c r="C6" s="803" t="s">
        <v>206</v>
      </c>
      <c r="D6" s="714" t="s">
        <v>207</v>
      </c>
      <c r="E6" s="806"/>
      <c r="F6" s="715"/>
      <c r="G6" s="714" t="s">
        <v>208</v>
      </c>
      <c r="H6" s="806"/>
      <c r="I6" s="806"/>
      <c r="J6" s="806"/>
      <c r="K6" s="806"/>
      <c r="L6" s="715"/>
    </row>
    <row r="7" spans="1:12" ht="15.75" customHeight="1">
      <c r="A7" s="695"/>
      <c r="B7" s="696"/>
      <c r="C7" s="805"/>
      <c r="D7" s="714" t="s">
        <v>7</v>
      </c>
      <c r="E7" s="806"/>
      <c r="F7" s="715"/>
      <c r="G7" s="803" t="s">
        <v>30</v>
      </c>
      <c r="H7" s="714" t="s">
        <v>7</v>
      </c>
      <c r="I7" s="806"/>
      <c r="J7" s="806"/>
      <c r="K7" s="806"/>
      <c r="L7" s="715"/>
    </row>
    <row r="8" spans="1:12" ht="14.25" customHeight="1">
      <c r="A8" s="695"/>
      <c r="B8" s="696"/>
      <c r="C8" s="805"/>
      <c r="D8" s="803" t="s">
        <v>209</v>
      </c>
      <c r="E8" s="803" t="s">
        <v>210</v>
      </c>
      <c r="F8" s="803" t="s">
        <v>211</v>
      </c>
      <c r="G8" s="805"/>
      <c r="H8" s="803" t="s">
        <v>212</v>
      </c>
      <c r="I8" s="803" t="s">
        <v>213</v>
      </c>
      <c r="J8" s="803" t="s">
        <v>214</v>
      </c>
      <c r="K8" s="803" t="s">
        <v>215</v>
      </c>
      <c r="L8" s="803" t="s">
        <v>216</v>
      </c>
    </row>
    <row r="9" spans="1:12" ht="77.25" customHeight="1">
      <c r="A9" s="697"/>
      <c r="B9" s="698"/>
      <c r="C9" s="804"/>
      <c r="D9" s="804"/>
      <c r="E9" s="804"/>
      <c r="F9" s="804"/>
      <c r="G9" s="804"/>
      <c r="H9" s="804"/>
      <c r="I9" s="804"/>
      <c r="J9" s="804"/>
      <c r="K9" s="804"/>
      <c r="L9" s="804"/>
    </row>
    <row r="10" spans="1:12" s="271" customFormat="1" ht="16.5" customHeight="1">
      <c r="A10" s="797" t="s">
        <v>6</v>
      </c>
      <c r="B10" s="798"/>
      <c r="C10" s="220">
        <v>1</v>
      </c>
      <c r="D10" s="220">
        <v>2</v>
      </c>
      <c r="E10" s="220">
        <v>3</v>
      </c>
      <c r="F10" s="220">
        <v>4</v>
      </c>
      <c r="G10" s="220">
        <v>5</v>
      </c>
      <c r="H10" s="220">
        <v>6</v>
      </c>
      <c r="I10" s="220">
        <v>7</v>
      </c>
      <c r="J10" s="220">
        <v>8</v>
      </c>
      <c r="K10" s="221" t="s">
        <v>63</v>
      </c>
      <c r="L10" s="221" t="s">
        <v>83</v>
      </c>
    </row>
    <row r="11" spans="1:12" s="271" customFormat="1" ht="16.5" customHeight="1">
      <c r="A11" s="801" t="s">
        <v>302</v>
      </c>
      <c r="B11" s="802"/>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99" t="s">
        <v>303</v>
      </c>
      <c r="B12" s="800"/>
      <c r="C12" s="224">
        <v>12</v>
      </c>
      <c r="D12" s="224">
        <v>0</v>
      </c>
      <c r="E12" s="224">
        <v>1</v>
      </c>
      <c r="F12" s="224">
        <v>11</v>
      </c>
      <c r="G12" s="224">
        <v>10</v>
      </c>
      <c r="H12" s="224">
        <v>0</v>
      </c>
      <c r="I12" s="224">
        <v>0</v>
      </c>
      <c r="J12" s="224">
        <v>0</v>
      </c>
      <c r="K12" s="224">
        <v>6</v>
      </c>
      <c r="L12" s="224">
        <v>4</v>
      </c>
    </row>
    <row r="13" spans="1:32" s="271" customFormat="1" ht="16.5" customHeight="1">
      <c r="A13" s="793" t="s">
        <v>30</v>
      </c>
      <c r="B13" s="794"/>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271</v>
      </c>
    </row>
    <row r="14" spans="1:37" s="271" customFormat="1" ht="16.5" customHeight="1">
      <c r="A14" s="274" t="s">
        <v>0</v>
      </c>
      <c r="B14" s="198" t="s">
        <v>135</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272</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273</v>
      </c>
      <c r="C17" s="226">
        <f t="shared" si="2"/>
        <v>1</v>
      </c>
      <c r="D17" s="231">
        <v>0</v>
      </c>
      <c r="E17" s="231">
        <v>0</v>
      </c>
      <c r="F17" s="231">
        <v>1</v>
      </c>
      <c r="G17" s="226">
        <f t="shared" si="1"/>
        <v>1</v>
      </c>
      <c r="H17" s="231">
        <v>0</v>
      </c>
      <c r="I17" s="231">
        <v>0</v>
      </c>
      <c r="J17" s="273">
        <v>0</v>
      </c>
      <c r="K17" s="273">
        <v>0</v>
      </c>
      <c r="L17" s="273">
        <v>1</v>
      </c>
      <c r="M17" s="285"/>
      <c r="AF17" s="199" t="s">
        <v>274</v>
      </c>
    </row>
    <row r="18" spans="1:14" s="271" customFormat="1" ht="15.75" customHeight="1">
      <c r="A18" s="200">
        <v>3</v>
      </c>
      <c r="B18" s="68" t="s">
        <v>275</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276</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277</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278</v>
      </c>
      <c r="C21" s="226">
        <f t="shared" si="2"/>
        <v>0</v>
      </c>
      <c r="D21" s="231">
        <v>0</v>
      </c>
      <c r="E21" s="231">
        <v>0</v>
      </c>
      <c r="F21" s="231">
        <v>0</v>
      </c>
      <c r="G21" s="226">
        <f t="shared" si="1"/>
        <v>0</v>
      </c>
      <c r="H21" s="231">
        <v>0</v>
      </c>
      <c r="I21" s="231">
        <v>0</v>
      </c>
      <c r="J21" s="273">
        <v>0</v>
      </c>
      <c r="K21" s="273">
        <v>0</v>
      </c>
      <c r="L21" s="273">
        <v>0</v>
      </c>
      <c r="M21" s="285"/>
      <c r="AJ21" s="271" t="s">
        <v>279</v>
      </c>
      <c r="AK21" s="271" t="s">
        <v>280</v>
      </c>
      <c r="AL21" s="271" t="s">
        <v>281</v>
      </c>
      <c r="AM21" s="199" t="s">
        <v>282</v>
      </c>
    </row>
    <row r="22" spans="1:39" s="271" customFormat="1" ht="15.75" customHeight="1">
      <c r="A22" s="200">
        <v>7</v>
      </c>
      <c r="B22" s="68" t="s">
        <v>283</v>
      </c>
      <c r="C22" s="226">
        <f t="shared" si="2"/>
        <v>0</v>
      </c>
      <c r="D22" s="231">
        <v>0</v>
      </c>
      <c r="E22" s="231">
        <v>0</v>
      </c>
      <c r="F22" s="231">
        <v>0</v>
      </c>
      <c r="G22" s="226">
        <f t="shared" si="1"/>
        <v>0</v>
      </c>
      <c r="H22" s="231">
        <v>0</v>
      </c>
      <c r="I22" s="231">
        <v>0</v>
      </c>
      <c r="J22" s="273">
        <v>0</v>
      </c>
      <c r="K22" s="273">
        <v>0</v>
      </c>
      <c r="L22" s="273">
        <v>0</v>
      </c>
      <c r="M22" s="285"/>
      <c r="N22" s="178"/>
      <c r="AM22" s="199" t="s">
        <v>284</v>
      </c>
    </row>
    <row r="23" spans="1:13" s="271" customFormat="1" ht="15.75" customHeight="1">
      <c r="A23" s="200">
        <v>8</v>
      </c>
      <c r="B23" s="68" t="s">
        <v>285</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286</v>
      </c>
      <c r="C24" s="226">
        <f t="shared" si="2"/>
        <v>0</v>
      </c>
      <c r="D24" s="231">
        <v>0</v>
      </c>
      <c r="E24" s="231">
        <v>0</v>
      </c>
      <c r="F24" s="231">
        <v>0</v>
      </c>
      <c r="G24" s="226">
        <f t="shared" si="1"/>
        <v>0</v>
      </c>
      <c r="H24" s="231">
        <v>0</v>
      </c>
      <c r="I24" s="231">
        <v>0</v>
      </c>
      <c r="J24" s="273">
        <v>0</v>
      </c>
      <c r="K24" s="273">
        <v>0</v>
      </c>
      <c r="L24" s="273">
        <v>0</v>
      </c>
      <c r="M24" s="285"/>
      <c r="AJ24" s="271" t="s">
        <v>279</v>
      </c>
    </row>
    <row r="25" spans="1:36" s="271" customFormat="1" ht="15.75" customHeight="1">
      <c r="A25" s="200">
        <v>10</v>
      </c>
      <c r="B25" s="68" t="s">
        <v>287</v>
      </c>
      <c r="C25" s="226">
        <f t="shared" si="2"/>
        <v>1</v>
      </c>
      <c r="D25" s="231">
        <v>0</v>
      </c>
      <c r="E25" s="231">
        <v>0</v>
      </c>
      <c r="F25" s="231">
        <v>1</v>
      </c>
      <c r="G25" s="226">
        <f t="shared" si="1"/>
        <v>1</v>
      </c>
      <c r="H25" s="231">
        <v>0</v>
      </c>
      <c r="I25" s="231">
        <v>0</v>
      </c>
      <c r="J25" s="273">
        <v>0</v>
      </c>
      <c r="K25" s="273">
        <v>0</v>
      </c>
      <c r="L25" s="273">
        <v>1</v>
      </c>
      <c r="M25" s="285"/>
      <c r="AJ25" s="199" t="s">
        <v>288</v>
      </c>
    </row>
    <row r="26" spans="1:44" s="271" customFormat="1" ht="15.75" customHeight="1">
      <c r="A26" s="200">
        <v>11</v>
      </c>
      <c r="B26" s="68" t="s">
        <v>289</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23" t="s">
        <v>290</v>
      </c>
      <c r="B28" s="723"/>
      <c r="C28" s="723"/>
      <c r="D28" s="723"/>
      <c r="E28" s="723"/>
      <c r="F28" s="182"/>
      <c r="G28" s="181"/>
      <c r="H28" s="294" t="s">
        <v>335</v>
      </c>
      <c r="I28" s="295"/>
      <c r="J28" s="295"/>
      <c r="K28" s="295"/>
      <c r="L28" s="295"/>
      <c r="AG28" s="233" t="s">
        <v>291</v>
      </c>
      <c r="AI28" s="190">
        <f>82/88</f>
        <v>0.9318181818181818</v>
      </c>
    </row>
    <row r="29" spans="1:12" ht="15" customHeight="1">
      <c r="A29" s="713" t="s">
        <v>4</v>
      </c>
      <c r="B29" s="713"/>
      <c r="C29" s="713"/>
      <c r="D29" s="713"/>
      <c r="E29" s="713"/>
      <c r="F29" s="182"/>
      <c r="G29" s="183"/>
      <c r="H29" s="716" t="s">
        <v>158</v>
      </c>
      <c r="I29" s="716"/>
      <c r="J29" s="716"/>
      <c r="K29" s="716"/>
      <c r="L29" s="716"/>
    </row>
    <row r="30" spans="1:14" s="170" customFormat="1" ht="18.75">
      <c r="A30" s="710"/>
      <c r="B30" s="710"/>
      <c r="C30" s="710"/>
      <c r="D30" s="710"/>
      <c r="E30" s="710"/>
      <c r="F30" s="296"/>
      <c r="G30" s="182"/>
      <c r="H30" s="711"/>
      <c r="I30" s="711"/>
      <c r="J30" s="711"/>
      <c r="K30" s="711"/>
      <c r="L30" s="711"/>
      <c r="M30" s="297"/>
      <c r="N30" s="297"/>
    </row>
    <row r="31" spans="1:12" ht="18">
      <c r="A31" s="182"/>
      <c r="B31" s="182"/>
      <c r="C31" s="182"/>
      <c r="D31" s="182"/>
      <c r="E31" s="182"/>
      <c r="F31" s="182"/>
      <c r="G31" s="182"/>
      <c r="H31" s="182"/>
      <c r="I31" s="182"/>
      <c r="J31" s="182"/>
      <c r="K31" s="182"/>
      <c r="L31" s="298"/>
    </row>
    <row r="32" spans="1:12" ht="18">
      <c r="A32" s="182"/>
      <c r="B32" s="772" t="s">
        <v>294</v>
      </c>
      <c r="C32" s="772"/>
      <c r="D32" s="772"/>
      <c r="E32" s="772"/>
      <c r="F32" s="182"/>
      <c r="G32" s="182"/>
      <c r="H32" s="182"/>
      <c r="I32" s="772" t="s">
        <v>294</v>
      </c>
      <c r="J32" s="772"/>
      <c r="K32" s="772"/>
      <c r="L32" s="298"/>
    </row>
    <row r="33" spans="1:12" ht="10.5" customHeight="1">
      <c r="A33" s="182"/>
      <c r="B33" s="182"/>
      <c r="C33" s="299" t="s">
        <v>293</v>
      </c>
      <c r="D33" s="299"/>
      <c r="E33" s="299"/>
      <c r="F33" s="299"/>
      <c r="G33" s="299"/>
      <c r="H33" s="299"/>
      <c r="I33" s="299"/>
      <c r="J33" s="300" t="s">
        <v>293</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09" t="s">
        <v>217</v>
      </c>
      <c r="C40" s="809"/>
      <c r="D40" s="809"/>
      <c r="E40" s="809"/>
      <c r="F40" s="809"/>
      <c r="G40" s="303"/>
      <c r="H40" s="301"/>
      <c r="I40" s="301"/>
      <c r="J40" s="301"/>
      <c r="K40" s="301"/>
      <c r="L40" s="301"/>
      <c r="M40" s="265"/>
      <c r="N40" s="265"/>
      <c r="O40" s="265"/>
      <c r="P40" s="265"/>
    </row>
    <row r="41" spans="1:12" ht="12.75" customHeight="1" hidden="1">
      <c r="A41" s="182"/>
      <c r="B41" s="279" t="s">
        <v>218</v>
      </c>
      <c r="C41" s="304"/>
      <c r="D41" s="304"/>
      <c r="E41" s="304"/>
      <c r="F41" s="304"/>
      <c r="G41" s="182"/>
      <c r="H41" s="301"/>
      <c r="I41" s="301"/>
      <c r="J41" s="301"/>
      <c r="K41" s="301"/>
      <c r="L41" s="301"/>
    </row>
    <row r="42" spans="1:12" ht="12.75" customHeight="1" hidden="1">
      <c r="A42" s="182"/>
      <c r="B42" s="236" t="s">
        <v>219</v>
      </c>
      <c r="C42" s="304"/>
      <c r="D42" s="304"/>
      <c r="E42" s="304"/>
      <c r="F42" s="304"/>
      <c r="G42" s="182"/>
      <c r="H42" s="301"/>
      <c r="I42" s="301"/>
      <c r="J42" s="301"/>
      <c r="K42" s="301"/>
      <c r="L42" s="301"/>
    </row>
    <row r="43" spans="1:12" ht="18.75">
      <c r="A43" s="608" t="s">
        <v>336</v>
      </c>
      <c r="B43" s="608"/>
      <c r="C43" s="608"/>
      <c r="D43" s="608"/>
      <c r="E43" s="608"/>
      <c r="F43" s="182"/>
      <c r="G43" s="301"/>
      <c r="H43" s="609" t="s">
        <v>248</v>
      </c>
      <c r="I43" s="609"/>
      <c r="J43" s="609"/>
      <c r="K43" s="609"/>
      <c r="L43" s="609"/>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04" t="s">
        <v>220</v>
      </c>
      <c r="B1" s="704"/>
      <c r="C1" s="704"/>
      <c r="D1" s="704"/>
      <c r="E1" s="306"/>
      <c r="F1" s="699" t="s">
        <v>371</v>
      </c>
      <c r="G1" s="699"/>
      <c r="H1" s="699"/>
      <c r="I1" s="699"/>
      <c r="J1" s="699"/>
      <c r="K1" s="699"/>
      <c r="L1" s="699"/>
      <c r="M1" s="699"/>
      <c r="N1" s="699"/>
      <c r="O1" s="699"/>
      <c r="P1" s="307" t="s">
        <v>295</v>
      </c>
      <c r="Q1" s="308"/>
      <c r="R1" s="308"/>
      <c r="S1" s="308"/>
      <c r="T1" s="308"/>
    </row>
    <row r="2" spans="1:20" s="177" customFormat="1" ht="20.25" customHeight="1">
      <c r="A2" s="814" t="s">
        <v>305</v>
      </c>
      <c r="B2" s="814"/>
      <c r="C2" s="814"/>
      <c r="D2" s="814"/>
      <c r="E2" s="306"/>
      <c r="F2" s="699"/>
      <c r="G2" s="699"/>
      <c r="H2" s="699"/>
      <c r="I2" s="699"/>
      <c r="J2" s="699"/>
      <c r="K2" s="699"/>
      <c r="L2" s="699"/>
      <c r="M2" s="699"/>
      <c r="N2" s="699"/>
      <c r="O2" s="699"/>
      <c r="P2" s="308" t="s">
        <v>337</v>
      </c>
      <c r="Q2" s="308"/>
      <c r="R2" s="308"/>
      <c r="S2" s="308"/>
      <c r="T2" s="308"/>
    </row>
    <row r="3" spans="1:20" s="177" customFormat="1" ht="15" customHeight="1">
      <c r="A3" s="814" t="s">
        <v>257</v>
      </c>
      <c r="B3" s="814"/>
      <c r="C3" s="814"/>
      <c r="D3" s="814"/>
      <c r="E3" s="306"/>
      <c r="F3" s="699"/>
      <c r="G3" s="699"/>
      <c r="H3" s="699"/>
      <c r="I3" s="699"/>
      <c r="J3" s="699"/>
      <c r="K3" s="699"/>
      <c r="L3" s="699"/>
      <c r="M3" s="699"/>
      <c r="N3" s="699"/>
      <c r="O3" s="699"/>
      <c r="P3" s="307" t="s">
        <v>363</v>
      </c>
      <c r="Q3" s="307"/>
      <c r="R3" s="307"/>
      <c r="S3" s="309"/>
      <c r="T3" s="309"/>
    </row>
    <row r="4" spans="1:20" s="177" customFormat="1" ht="15.75" customHeight="1">
      <c r="A4" s="815" t="s">
        <v>338</v>
      </c>
      <c r="B4" s="815"/>
      <c r="C4" s="815"/>
      <c r="D4" s="815"/>
      <c r="E4" s="307"/>
      <c r="F4" s="699"/>
      <c r="G4" s="699"/>
      <c r="H4" s="699"/>
      <c r="I4" s="699"/>
      <c r="J4" s="699"/>
      <c r="K4" s="699"/>
      <c r="L4" s="699"/>
      <c r="M4" s="699"/>
      <c r="N4" s="699"/>
      <c r="O4" s="699"/>
      <c r="P4" s="308" t="s">
        <v>307</v>
      </c>
      <c r="Q4" s="307"/>
      <c r="R4" s="307"/>
      <c r="S4" s="309"/>
      <c r="T4" s="309"/>
    </row>
    <row r="5" spans="1:18" s="177" customFormat="1" ht="24" customHeight="1">
      <c r="A5" s="310"/>
      <c r="B5" s="310"/>
      <c r="C5" s="310"/>
      <c r="F5" s="813"/>
      <c r="G5" s="813"/>
      <c r="H5" s="813"/>
      <c r="I5" s="813"/>
      <c r="J5" s="813"/>
      <c r="K5" s="813"/>
      <c r="L5" s="813"/>
      <c r="M5" s="813"/>
      <c r="N5" s="813"/>
      <c r="O5" s="813"/>
      <c r="P5" s="311" t="s">
        <v>339</v>
      </c>
      <c r="Q5" s="312"/>
      <c r="R5" s="312"/>
    </row>
    <row r="6" spans="1:20" s="313" customFormat="1" ht="21.75" customHeight="1">
      <c r="A6" s="818" t="s">
        <v>57</v>
      </c>
      <c r="B6" s="819"/>
      <c r="C6" s="707" t="s">
        <v>31</v>
      </c>
      <c r="D6" s="691"/>
      <c r="E6" s="707" t="s">
        <v>7</v>
      </c>
      <c r="F6" s="810"/>
      <c r="G6" s="810"/>
      <c r="H6" s="810"/>
      <c r="I6" s="810"/>
      <c r="J6" s="810"/>
      <c r="K6" s="810"/>
      <c r="L6" s="810"/>
      <c r="M6" s="810"/>
      <c r="N6" s="810"/>
      <c r="O6" s="810"/>
      <c r="P6" s="810"/>
      <c r="Q6" s="810"/>
      <c r="R6" s="810"/>
      <c r="S6" s="810"/>
      <c r="T6" s="691"/>
    </row>
    <row r="7" spans="1:21" s="313" customFormat="1" ht="22.5" customHeight="1">
      <c r="A7" s="820"/>
      <c r="B7" s="821"/>
      <c r="C7" s="724" t="s">
        <v>340</v>
      </c>
      <c r="D7" s="724" t="s">
        <v>341</v>
      </c>
      <c r="E7" s="707" t="s">
        <v>221</v>
      </c>
      <c r="F7" s="822"/>
      <c r="G7" s="822"/>
      <c r="H7" s="822"/>
      <c r="I7" s="822"/>
      <c r="J7" s="822"/>
      <c r="K7" s="822"/>
      <c r="L7" s="823"/>
      <c r="M7" s="707" t="s">
        <v>342</v>
      </c>
      <c r="N7" s="810"/>
      <c r="O7" s="810"/>
      <c r="P7" s="810"/>
      <c r="Q7" s="810"/>
      <c r="R7" s="810"/>
      <c r="S7" s="810"/>
      <c r="T7" s="691"/>
      <c r="U7" s="314"/>
    </row>
    <row r="8" spans="1:20" s="313" customFormat="1" ht="42.75" customHeight="1">
      <c r="A8" s="820"/>
      <c r="B8" s="821"/>
      <c r="C8" s="725"/>
      <c r="D8" s="725"/>
      <c r="E8" s="688" t="s">
        <v>343</v>
      </c>
      <c r="F8" s="688"/>
      <c r="G8" s="707" t="s">
        <v>344</v>
      </c>
      <c r="H8" s="810"/>
      <c r="I8" s="810"/>
      <c r="J8" s="810"/>
      <c r="K8" s="810"/>
      <c r="L8" s="691"/>
      <c r="M8" s="688" t="s">
        <v>345</v>
      </c>
      <c r="N8" s="688"/>
      <c r="O8" s="707" t="s">
        <v>344</v>
      </c>
      <c r="P8" s="810"/>
      <c r="Q8" s="810"/>
      <c r="R8" s="810"/>
      <c r="S8" s="810"/>
      <c r="T8" s="691"/>
    </row>
    <row r="9" spans="1:20" s="313" customFormat="1" ht="35.25" customHeight="1">
      <c r="A9" s="820"/>
      <c r="B9" s="821"/>
      <c r="C9" s="725"/>
      <c r="D9" s="725"/>
      <c r="E9" s="724" t="s">
        <v>222</v>
      </c>
      <c r="F9" s="724" t="s">
        <v>223</v>
      </c>
      <c r="G9" s="811" t="s">
        <v>224</v>
      </c>
      <c r="H9" s="812"/>
      <c r="I9" s="811" t="s">
        <v>225</v>
      </c>
      <c r="J9" s="812"/>
      <c r="K9" s="811" t="s">
        <v>226</v>
      </c>
      <c r="L9" s="812"/>
      <c r="M9" s="724" t="s">
        <v>227</v>
      </c>
      <c r="N9" s="724" t="s">
        <v>223</v>
      </c>
      <c r="O9" s="811" t="s">
        <v>224</v>
      </c>
      <c r="P9" s="812"/>
      <c r="Q9" s="811" t="s">
        <v>228</v>
      </c>
      <c r="R9" s="812"/>
      <c r="S9" s="811" t="s">
        <v>229</v>
      </c>
      <c r="T9" s="812"/>
    </row>
    <row r="10" spans="1:20" s="313" customFormat="1" ht="25.5" customHeight="1">
      <c r="A10" s="811"/>
      <c r="B10" s="812"/>
      <c r="C10" s="726"/>
      <c r="D10" s="726"/>
      <c r="E10" s="726"/>
      <c r="F10" s="726"/>
      <c r="G10" s="215" t="s">
        <v>227</v>
      </c>
      <c r="H10" s="215" t="s">
        <v>223</v>
      </c>
      <c r="I10" s="219" t="s">
        <v>227</v>
      </c>
      <c r="J10" s="215" t="s">
        <v>223</v>
      </c>
      <c r="K10" s="219" t="s">
        <v>227</v>
      </c>
      <c r="L10" s="215" t="s">
        <v>223</v>
      </c>
      <c r="M10" s="726"/>
      <c r="N10" s="726"/>
      <c r="O10" s="215" t="s">
        <v>227</v>
      </c>
      <c r="P10" s="215" t="s">
        <v>223</v>
      </c>
      <c r="Q10" s="219" t="s">
        <v>227</v>
      </c>
      <c r="R10" s="215" t="s">
        <v>223</v>
      </c>
      <c r="S10" s="219" t="s">
        <v>227</v>
      </c>
      <c r="T10" s="215" t="s">
        <v>223</v>
      </c>
    </row>
    <row r="11" spans="1:32" s="222" customFormat="1" ht="12.75">
      <c r="A11" s="825" t="s">
        <v>6</v>
      </c>
      <c r="B11" s="826"/>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271</v>
      </c>
    </row>
    <row r="12" spans="1:20" s="222" customFormat="1" ht="20.25" customHeight="1">
      <c r="A12" s="827" t="s">
        <v>327</v>
      </c>
      <c r="B12" s="828"/>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16" t="s">
        <v>303</v>
      </c>
      <c r="B13" s="817"/>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29" t="s">
        <v>30</v>
      </c>
      <c r="B14" s="830"/>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135</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272</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274</v>
      </c>
    </row>
    <row r="18" spans="1:20" s="178" customFormat="1" ht="15.75" customHeight="1">
      <c r="A18" s="200">
        <v>2</v>
      </c>
      <c r="B18" s="68" t="s">
        <v>304</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275</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276</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277</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279</v>
      </c>
      <c r="AK21" s="178" t="s">
        <v>280</v>
      </c>
      <c r="AL21" s="178" t="s">
        <v>281</v>
      </c>
      <c r="AM21" s="199" t="s">
        <v>282</v>
      </c>
    </row>
    <row r="22" spans="1:39" s="178" customFormat="1" ht="15.75" customHeight="1">
      <c r="A22" s="200">
        <v>6</v>
      </c>
      <c r="B22" s="68" t="s">
        <v>278</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284</v>
      </c>
    </row>
    <row r="23" spans="1:20" s="178" customFormat="1" ht="15.75" customHeight="1">
      <c r="A23" s="200">
        <v>7</v>
      </c>
      <c r="B23" s="68" t="s">
        <v>283</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285</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279</v>
      </c>
    </row>
    <row r="25" spans="1:36" s="178" customFormat="1" ht="15.75" customHeight="1">
      <c r="A25" s="200">
        <v>9</v>
      </c>
      <c r="B25" s="68" t="s">
        <v>286</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288</v>
      </c>
    </row>
    <row r="26" spans="1:44" s="178" customFormat="1" ht="15.75" customHeight="1">
      <c r="A26" s="200">
        <v>10</v>
      </c>
      <c r="B26" s="68" t="s">
        <v>287</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289</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291</v>
      </c>
      <c r="AI28" s="190">
        <f>82/88</f>
        <v>0.9318181818181818</v>
      </c>
    </row>
    <row r="29" spans="1:20" ht="15.75" customHeight="1">
      <c r="A29" s="180"/>
      <c r="B29" s="723" t="s">
        <v>290</v>
      </c>
      <c r="C29" s="723"/>
      <c r="D29" s="723"/>
      <c r="E29" s="723"/>
      <c r="F29" s="723"/>
      <c r="G29" s="723"/>
      <c r="H29" s="181"/>
      <c r="I29" s="181"/>
      <c r="J29" s="182"/>
      <c r="K29" s="181"/>
      <c r="L29" s="728" t="s">
        <v>290</v>
      </c>
      <c r="M29" s="728"/>
      <c r="N29" s="728"/>
      <c r="O29" s="728"/>
      <c r="P29" s="728"/>
      <c r="Q29" s="728"/>
      <c r="R29" s="728"/>
      <c r="S29" s="728"/>
      <c r="T29" s="728"/>
    </row>
    <row r="30" spans="1:20" ht="15" customHeight="1">
      <c r="A30" s="180"/>
      <c r="B30" s="713" t="s">
        <v>35</v>
      </c>
      <c r="C30" s="713"/>
      <c r="D30" s="713"/>
      <c r="E30" s="713"/>
      <c r="F30" s="713"/>
      <c r="G30" s="713"/>
      <c r="H30" s="183"/>
      <c r="I30" s="183"/>
      <c r="J30" s="183"/>
      <c r="K30" s="183"/>
      <c r="L30" s="716" t="s">
        <v>246</v>
      </c>
      <c r="M30" s="716"/>
      <c r="N30" s="716"/>
      <c r="O30" s="716"/>
      <c r="P30" s="716"/>
      <c r="Q30" s="716"/>
      <c r="R30" s="716"/>
      <c r="S30" s="716"/>
      <c r="T30" s="716"/>
    </row>
    <row r="31" spans="1:20" s="320" customFormat="1" ht="18.75">
      <c r="A31" s="318"/>
      <c r="B31" s="710"/>
      <c r="C31" s="710"/>
      <c r="D31" s="710"/>
      <c r="E31" s="710"/>
      <c r="F31" s="710"/>
      <c r="G31" s="319"/>
      <c r="H31" s="319"/>
      <c r="I31" s="319"/>
      <c r="J31" s="319"/>
      <c r="K31" s="319"/>
      <c r="L31" s="711"/>
      <c r="M31" s="711"/>
      <c r="N31" s="711"/>
      <c r="O31" s="711"/>
      <c r="P31" s="711"/>
      <c r="Q31" s="711"/>
      <c r="R31" s="711"/>
      <c r="S31" s="711"/>
      <c r="T31" s="711"/>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24" t="s">
        <v>294</v>
      </c>
      <c r="C33" s="824"/>
      <c r="D33" s="824"/>
      <c r="E33" s="824"/>
      <c r="F33" s="824"/>
      <c r="G33" s="321"/>
      <c r="H33" s="321"/>
      <c r="I33" s="321"/>
      <c r="J33" s="321"/>
      <c r="K33" s="321"/>
      <c r="L33" s="321"/>
      <c r="M33" s="321"/>
      <c r="N33" s="321"/>
      <c r="O33" s="824" t="s">
        <v>294</v>
      </c>
      <c r="P33" s="824"/>
      <c r="Q33" s="824"/>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217</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218</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230</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08" t="s">
        <v>247</v>
      </c>
      <c r="C39" s="608"/>
      <c r="D39" s="608"/>
      <c r="E39" s="608"/>
      <c r="F39" s="608"/>
      <c r="G39" s="608"/>
      <c r="H39" s="182"/>
      <c r="I39" s="182"/>
      <c r="J39" s="182"/>
      <c r="K39" s="182"/>
      <c r="L39" s="609" t="s">
        <v>248</v>
      </c>
      <c r="M39" s="609"/>
      <c r="N39" s="609"/>
      <c r="O39" s="609"/>
      <c r="P39" s="609"/>
      <c r="Q39" s="609"/>
      <c r="R39" s="609"/>
      <c r="S39" s="609"/>
      <c r="T39" s="609"/>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B39:G39"/>
    <mergeCell ref="L29:T29"/>
    <mergeCell ref="L30:T30"/>
    <mergeCell ref="L39:T39"/>
    <mergeCell ref="B30:G30"/>
    <mergeCell ref="A12:B12"/>
    <mergeCell ref="B29:G29"/>
    <mergeCell ref="A14:B14"/>
    <mergeCell ref="B33:F33"/>
    <mergeCell ref="A11:B11"/>
    <mergeCell ref="D7:D10"/>
    <mergeCell ref="E8:F8"/>
    <mergeCell ref="O33:Q33"/>
    <mergeCell ref="M7:T7"/>
    <mergeCell ref="B31:F31"/>
    <mergeCell ref="I9:J9"/>
    <mergeCell ref="Q9:R9"/>
    <mergeCell ref="L31:T31"/>
    <mergeCell ref="A13:B13"/>
    <mergeCell ref="A6:B10"/>
    <mergeCell ref="N9:N10"/>
    <mergeCell ref="A1:D1"/>
    <mergeCell ref="E7:L7"/>
    <mergeCell ref="F1:O4"/>
    <mergeCell ref="O9:P9"/>
    <mergeCell ref="G9:H9"/>
    <mergeCell ref="S9:T9"/>
    <mergeCell ref="A2:D2"/>
    <mergeCell ref="O8:T8"/>
    <mergeCell ref="C7:C10"/>
    <mergeCell ref="C6:D6"/>
    <mergeCell ref="M8:N8"/>
    <mergeCell ref="F9:F10"/>
    <mergeCell ref="G8:L8"/>
    <mergeCell ref="K9:L9"/>
    <mergeCell ref="F5:O5"/>
    <mergeCell ref="M9:M10"/>
    <mergeCell ref="A3:D3"/>
    <mergeCell ref="A4:D4"/>
    <mergeCell ref="E6:T6"/>
    <mergeCell ref="E9:E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2017-12-05T06:58:40Z</cp:lastPrinted>
  <dcterms:created xsi:type="dcterms:W3CDTF">2004-03-07T02:36:29Z</dcterms:created>
  <dcterms:modified xsi:type="dcterms:W3CDTF">2018-01-04T07:00:36Z</dcterms:modified>
  <cp:category/>
  <cp:version/>
  <cp:contentType/>
  <cp:contentStatus/>
</cp:coreProperties>
</file>